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workbookProtection workbookPassword="A4FF" lockStructure="1"/>
  <bookViews>
    <workbookView xWindow="7580" yWindow="-40" windowWidth="18380" windowHeight="14680" tabRatio="814"/>
  </bookViews>
  <sheets>
    <sheet name="Instructions" sheetId="66" r:id="rId1"/>
    <sheet name="Atmospheric_P_Deposition" sheetId="68" r:id="rId2"/>
    <sheet name="Whole_Ag_P_Balance" sheetId="61" r:id="rId3"/>
    <sheet name="Crop_P_Balance" sheetId="67" r:id="rId4"/>
    <sheet name="Feed_Summary" sheetId="60" r:id="rId5"/>
    <sheet name="Egg_Flock" sheetId="62" r:id="rId6"/>
    <sheet name="Egg_Nutrient" sheetId="63" r:id="rId7"/>
    <sheet name="Egg_Manure" sheetId="64" r:id="rId8"/>
    <sheet name="Egg_P_Balance" sheetId="65" r:id="rId9"/>
    <sheet name="BroilerFlock" sheetId="56" r:id="rId10"/>
    <sheet name="Broiler_Nutrient" sheetId="57" r:id="rId11"/>
    <sheet name="Broiler_Manure" sheetId="58" r:id="rId12"/>
    <sheet name="BroilerPBalance" sheetId="59" r:id="rId13"/>
    <sheet name="TurkeyFlock" sheetId="51" r:id="rId14"/>
    <sheet name="Turkey_Nutrient" sheetId="53" r:id="rId15"/>
    <sheet name="Turkey_Manure" sheetId="54" r:id="rId16"/>
    <sheet name="TurkeyPBalance" sheetId="55" r:id="rId17"/>
    <sheet name="BeefHerd" sheetId="13" r:id="rId18"/>
    <sheet name="Conv Weight Gained" sheetId="14" state="hidden" r:id="rId19"/>
    <sheet name="Conv Calendar" sheetId="12" state="hidden" r:id="rId20"/>
    <sheet name="Conv Energy" sheetId="15" state="hidden" r:id="rId21"/>
    <sheet name="GrassFedOnly" sheetId="50" state="hidden" r:id="rId22"/>
    <sheet name="Conv Forage" sheetId="16" state="hidden" r:id="rId23"/>
    <sheet name="Beef_Nutrient" sheetId="47" r:id="rId24"/>
    <sheet name="BeefManure" sheetId="48" r:id="rId25"/>
    <sheet name="BeefPBalance " sheetId="49" r:id="rId26"/>
    <sheet name="DairyHerd" sheetId="22" r:id="rId27"/>
    <sheet name="Dairy_Nutrient" sheetId="26" r:id="rId28"/>
    <sheet name="DairyManure" sheetId="24" r:id="rId29"/>
    <sheet name="DairyPBalance" sheetId="28" r:id="rId30"/>
    <sheet name="HogHerd" sheetId="29" r:id="rId31"/>
    <sheet name="Swine_Nutrient" sheetId="31" r:id="rId32"/>
    <sheet name="Feed_CompositionSwine" sheetId="32" r:id="rId33"/>
    <sheet name="SwineFeedCalculator" sheetId="33" r:id="rId34"/>
    <sheet name="SwineManure" sheetId="34" r:id="rId35"/>
    <sheet name="SwinePBalance" sheetId="37" r:id="rId36"/>
    <sheet name="Feed_Composition" sheetId="27" r:id="rId3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53" l="1"/>
  <c r="B35" i="53"/>
  <c r="B36" i="53"/>
  <c r="B37" i="53"/>
  <c r="B38" i="53"/>
  <c r="B39" i="53"/>
  <c r="B40" i="53"/>
  <c r="B41" i="53"/>
  <c r="B33" i="53"/>
  <c r="B42" i="53"/>
  <c r="B16" i="53"/>
  <c r="C8" i="53"/>
  <c r="C35" i="53"/>
  <c r="C36" i="53"/>
  <c r="C37" i="53"/>
  <c r="C38" i="53"/>
  <c r="C39" i="53"/>
  <c r="C40" i="53"/>
  <c r="C41" i="53"/>
  <c r="C33" i="53"/>
  <c r="C42" i="53"/>
  <c r="C16" i="53"/>
  <c r="D8" i="53"/>
  <c r="D35" i="53"/>
  <c r="D36" i="53"/>
  <c r="D37" i="53"/>
  <c r="D38" i="53"/>
  <c r="D39" i="53"/>
  <c r="D40" i="53"/>
  <c r="D41" i="53"/>
  <c r="D33" i="53"/>
  <c r="D42" i="53"/>
  <c r="D16" i="53"/>
  <c r="E19" i="55"/>
  <c r="B18" i="51"/>
  <c r="B7" i="51"/>
  <c r="B13" i="51"/>
  <c r="B12" i="51"/>
  <c r="B16" i="51"/>
  <c r="B9" i="51"/>
  <c r="B10" i="51"/>
  <c r="E8" i="53"/>
  <c r="E35" i="53"/>
  <c r="E36" i="53"/>
  <c r="E37" i="53"/>
  <c r="E38" i="53"/>
  <c r="E39" i="53"/>
  <c r="E40" i="53"/>
  <c r="E41" i="53"/>
  <c r="E33" i="53"/>
  <c r="E42" i="53"/>
  <c r="E16" i="53"/>
  <c r="F8" i="53"/>
  <c r="F35" i="53"/>
  <c r="F36" i="53"/>
  <c r="F37" i="53"/>
  <c r="F38" i="53"/>
  <c r="F39" i="53"/>
  <c r="F40" i="53"/>
  <c r="F41" i="53"/>
  <c r="F33" i="53"/>
  <c r="F42" i="53"/>
  <c r="F16" i="53"/>
  <c r="G8" i="53"/>
  <c r="G35" i="53"/>
  <c r="G36" i="53"/>
  <c r="G37" i="53"/>
  <c r="G38" i="53"/>
  <c r="G39" i="53"/>
  <c r="G40" i="53"/>
  <c r="G41" i="53"/>
  <c r="G33" i="53"/>
  <c r="G42" i="53"/>
  <c r="G16" i="53"/>
  <c r="E18" i="55"/>
  <c r="D6" i="55"/>
  <c r="D18" i="61"/>
  <c r="B6" i="56"/>
  <c r="B7" i="56"/>
  <c r="D7" i="59"/>
  <c r="D14" i="61"/>
  <c r="B9" i="29"/>
  <c r="B24" i="29"/>
  <c r="B8" i="29"/>
  <c r="B7" i="29"/>
  <c r="B27" i="29"/>
  <c r="B10" i="29"/>
  <c r="D6" i="37"/>
  <c r="D25" i="61"/>
  <c r="B25" i="29"/>
  <c r="D8" i="37"/>
  <c r="D26" i="61"/>
  <c r="B6" i="22"/>
  <c r="B7" i="22"/>
  <c r="B8" i="22"/>
  <c r="B18" i="28"/>
  <c r="C18" i="28"/>
  <c r="D18" i="28"/>
  <c r="E18" i="28"/>
  <c r="D6" i="28"/>
  <c r="D32" i="61"/>
  <c r="B18" i="22"/>
  <c r="B19" i="22"/>
  <c r="D9" i="28"/>
  <c r="D33" i="61"/>
  <c r="P8" i="67"/>
  <c r="P9" i="67"/>
  <c r="P10" i="67"/>
  <c r="P11" i="67"/>
  <c r="P12" i="67"/>
  <c r="P14" i="67"/>
  <c r="P15" i="67"/>
  <c r="P16" i="67"/>
  <c r="P17" i="67"/>
  <c r="P18" i="67"/>
  <c r="P19" i="67"/>
  <c r="P20" i="67"/>
  <c r="P22" i="67"/>
  <c r="B50" i="61"/>
  <c r="E50" i="61"/>
  <c r="B46" i="53"/>
  <c r="B49" i="53"/>
  <c r="C46" i="53"/>
  <c r="C49" i="53"/>
  <c r="D46" i="53"/>
  <c r="D49" i="53"/>
  <c r="E46" i="53"/>
  <c r="E49" i="53"/>
  <c r="F46" i="53"/>
  <c r="F49" i="53"/>
  <c r="G46" i="53"/>
  <c r="G49" i="53"/>
  <c r="H46" i="53"/>
  <c r="H35" i="53"/>
  <c r="H49" i="53"/>
  <c r="I46" i="53"/>
  <c r="I35" i="53"/>
  <c r="I49" i="53"/>
  <c r="J49" i="53"/>
  <c r="K49" i="53"/>
  <c r="G6" i="60"/>
  <c r="B25" i="13"/>
  <c r="B38" i="47"/>
  <c r="B46" i="47"/>
  <c r="B33" i="13"/>
  <c r="C38" i="47"/>
  <c r="C46" i="47"/>
  <c r="B26" i="13"/>
  <c r="D38" i="47"/>
  <c r="D46" i="47"/>
  <c r="E38" i="47"/>
  <c r="E46" i="47"/>
  <c r="B34" i="13"/>
  <c r="F38" i="47"/>
  <c r="F46" i="47"/>
  <c r="D3" i="14"/>
  <c r="D4" i="14"/>
  <c r="D5" i="14"/>
  <c r="D6" i="14"/>
  <c r="D7" i="14"/>
  <c r="D8" i="14"/>
  <c r="D9" i="14"/>
  <c r="D10" i="14"/>
  <c r="D11" i="14"/>
  <c r="D12" i="14"/>
  <c r="D13" i="14"/>
  <c r="D14" i="14"/>
  <c r="D15" i="14"/>
  <c r="D16" i="14"/>
  <c r="D17" i="14"/>
  <c r="G16" i="14"/>
  <c r="J10" i="14"/>
  <c r="N56" i="15"/>
  <c r="N58" i="15"/>
  <c r="O56" i="15"/>
  <c r="O58" i="15"/>
  <c r="D44" i="15"/>
  <c r="D46" i="15"/>
  <c r="E44" i="15"/>
  <c r="E45" i="15"/>
  <c r="E48" i="15"/>
  <c r="E84" i="15"/>
  <c r="E150" i="15"/>
  <c r="B28" i="13"/>
  <c r="I8" i="12"/>
  <c r="L8" i="12"/>
  <c r="X10" i="12"/>
  <c r="E13" i="16"/>
  <c r="E47" i="15"/>
  <c r="E49" i="15"/>
  <c r="E85" i="15"/>
  <c r="E151" i="15"/>
  <c r="E14" i="16"/>
  <c r="F44" i="15"/>
  <c r="F45" i="15"/>
  <c r="F48" i="15"/>
  <c r="F84" i="15"/>
  <c r="F150" i="15"/>
  <c r="M8" i="12"/>
  <c r="Y10" i="12"/>
  <c r="F13" i="16"/>
  <c r="F46" i="15"/>
  <c r="F47" i="15"/>
  <c r="F49" i="15"/>
  <c r="F85" i="15"/>
  <c r="F151" i="15"/>
  <c r="F14" i="16"/>
  <c r="G44" i="15"/>
  <c r="G45" i="15"/>
  <c r="G48" i="15"/>
  <c r="G84" i="15"/>
  <c r="G150" i="15"/>
  <c r="N8" i="12"/>
  <c r="Z10" i="12"/>
  <c r="G13" i="16"/>
  <c r="G46" i="15"/>
  <c r="G47" i="15"/>
  <c r="G49" i="15"/>
  <c r="G85" i="15"/>
  <c r="G151" i="15"/>
  <c r="G14" i="16"/>
  <c r="H46" i="15"/>
  <c r="H44" i="15"/>
  <c r="H45" i="15"/>
  <c r="H48" i="15"/>
  <c r="H84" i="15"/>
  <c r="H150" i="15"/>
  <c r="O8" i="12"/>
  <c r="AA10" i="12"/>
  <c r="H13" i="16"/>
  <c r="H47" i="15"/>
  <c r="H49" i="15"/>
  <c r="H85" i="15"/>
  <c r="H151" i="15"/>
  <c r="H14" i="16"/>
  <c r="I44" i="15"/>
  <c r="I45" i="15"/>
  <c r="I48" i="15"/>
  <c r="I84" i="15"/>
  <c r="I150" i="15"/>
  <c r="P8" i="12"/>
  <c r="AB10" i="12"/>
  <c r="I13" i="16"/>
  <c r="I46" i="15"/>
  <c r="I47" i="15"/>
  <c r="I49" i="15"/>
  <c r="I85" i="15"/>
  <c r="I151" i="15"/>
  <c r="I14" i="16"/>
  <c r="J44" i="15"/>
  <c r="J45" i="15"/>
  <c r="J48" i="15"/>
  <c r="J84" i="15"/>
  <c r="J150" i="15"/>
  <c r="Q8" i="12"/>
  <c r="AC10" i="12"/>
  <c r="J13" i="16"/>
  <c r="J46" i="15"/>
  <c r="J47" i="15"/>
  <c r="J49" i="15"/>
  <c r="J85" i="15"/>
  <c r="J151" i="15"/>
  <c r="J14" i="16"/>
  <c r="G108" i="16"/>
  <c r="G27" i="47"/>
  <c r="H38" i="47"/>
  <c r="G38" i="47"/>
  <c r="G46" i="47"/>
  <c r="H27" i="47"/>
  <c r="H46" i="47"/>
  <c r="K38" i="47"/>
  <c r="J38" i="47"/>
  <c r="I38" i="47"/>
  <c r="I46" i="47"/>
  <c r="J46" i="47"/>
  <c r="K46" i="47"/>
  <c r="N38" i="47"/>
  <c r="M38" i="47"/>
  <c r="L38" i="47"/>
  <c r="L46" i="47"/>
  <c r="M46" i="47"/>
  <c r="N46" i="47"/>
  <c r="O3" i="14"/>
  <c r="O4" i="14"/>
  <c r="O5" i="14"/>
  <c r="O6" i="14"/>
  <c r="O7" i="14"/>
  <c r="O8" i="14"/>
  <c r="O9" i="14"/>
  <c r="O10" i="14"/>
  <c r="O11" i="14"/>
  <c r="O12" i="14"/>
  <c r="O13" i="14"/>
  <c r="O14" i="14"/>
  <c r="O15" i="14"/>
  <c r="O16" i="14"/>
  <c r="O17" i="14"/>
  <c r="R16" i="14"/>
  <c r="U10" i="14"/>
  <c r="N62" i="15"/>
  <c r="N64" i="15"/>
  <c r="O62" i="15"/>
  <c r="O64" i="15"/>
  <c r="D50" i="15"/>
  <c r="D52" i="15"/>
  <c r="E50" i="15"/>
  <c r="E52" i="15"/>
  <c r="F50" i="15"/>
  <c r="F51" i="15"/>
  <c r="F54" i="15"/>
  <c r="F90" i="15"/>
  <c r="F162" i="15"/>
  <c r="B32" i="13"/>
  <c r="B30" i="13"/>
  <c r="I9" i="12"/>
  <c r="J9" i="12"/>
  <c r="K9" i="12"/>
  <c r="L9" i="12"/>
  <c r="M9" i="12"/>
  <c r="Y11" i="12"/>
  <c r="F19" i="16"/>
  <c r="F52" i="15"/>
  <c r="F53" i="15"/>
  <c r="F55" i="15"/>
  <c r="F91" i="15"/>
  <c r="F163" i="15"/>
  <c r="F20" i="16"/>
  <c r="G50" i="15"/>
  <c r="G51" i="15"/>
  <c r="G54" i="15"/>
  <c r="G90" i="15"/>
  <c r="G162" i="15"/>
  <c r="N9" i="12"/>
  <c r="Z11" i="12"/>
  <c r="G19" i="16"/>
  <c r="G52" i="15"/>
  <c r="G53" i="15"/>
  <c r="G55" i="15"/>
  <c r="G91" i="15"/>
  <c r="G163" i="15"/>
  <c r="G20" i="16"/>
  <c r="H52" i="15"/>
  <c r="H50" i="15"/>
  <c r="H51" i="15"/>
  <c r="H54" i="15"/>
  <c r="H90" i="15"/>
  <c r="H162" i="15"/>
  <c r="O9" i="12"/>
  <c r="AA11" i="12"/>
  <c r="H19" i="16"/>
  <c r="H53" i="15"/>
  <c r="H55" i="15"/>
  <c r="H91" i="15"/>
  <c r="H163" i="15"/>
  <c r="H20" i="16"/>
  <c r="I50" i="15"/>
  <c r="I51" i="15"/>
  <c r="I54" i="15"/>
  <c r="I90" i="15"/>
  <c r="I162" i="15"/>
  <c r="P9" i="12"/>
  <c r="AB11" i="12"/>
  <c r="I19" i="16"/>
  <c r="I52" i="15"/>
  <c r="I53" i="15"/>
  <c r="I55" i="15"/>
  <c r="I91" i="15"/>
  <c r="I163" i="15"/>
  <c r="I20" i="16"/>
  <c r="J50" i="15"/>
  <c r="J51" i="15"/>
  <c r="J54" i="15"/>
  <c r="J90" i="15"/>
  <c r="J162" i="15"/>
  <c r="Q9" i="12"/>
  <c r="AC11" i="12"/>
  <c r="J19" i="16"/>
  <c r="J52" i="15"/>
  <c r="J53" i="15"/>
  <c r="J55" i="15"/>
  <c r="J91" i="15"/>
  <c r="J163" i="15"/>
  <c r="J20" i="16"/>
  <c r="J108" i="16"/>
  <c r="O27" i="47"/>
  <c r="O38" i="47"/>
  <c r="O46" i="47"/>
  <c r="P27" i="47"/>
  <c r="P38" i="47"/>
  <c r="P46" i="47"/>
  <c r="Q38" i="47"/>
  <c r="Q46" i="47"/>
  <c r="R46" i="47"/>
  <c r="S46" i="47"/>
  <c r="G24" i="60"/>
  <c r="B10" i="22"/>
  <c r="B46" i="26"/>
  <c r="B50" i="26"/>
  <c r="C46" i="26"/>
  <c r="C50" i="26"/>
  <c r="D46" i="26"/>
  <c r="D50" i="26"/>
  <c r="F46" i="26"/>
  <c r="E46" i="26"/>
  <c r="E50" i="26"/>
  <c r="F50" i="26"/>
  <c r="G50" i="26"/>
  <c r="H50" i="26"/>
  <c r="G40" i="60"/>
  <c r="B55" i="26"/>
  <c r="C55" i="26"/>
  <c r="D55" i="26"/>
  <c r="E55" i="26"/>
  <c r="F55" i="26"/>
  <c r="G55" i="26"/>
  <c r="H55" i="26"/>
  <c r="G45" i="60"/>
  <c r="B17" i="33"/>
  <c r="C37" i="31"/>
  <c r="C56" i="31"/>
  <c r="C17" i="33"/>
  <c r="D37" i="31"/>
  <c r="D56" i="31"/>
  <c r="D17" i="33"/>
  <c r="E37" i="31"/>
  <c r="E56" i="31"/>
  <c r="E17" i="33"/>
  <c r="F37" i="31"/>
  <c r="F56" i="31"/>
  <c r="F17" i="33"/>
  <c r="G37" i="31"/>
  <c r="G56" i="31"/>
  <c r="G17" i="33"/>
  <c r="H37" i="31"/>
  <c r="H56" i="31"/>
  <c r="H17" i="33"/>
  <c r="I37" i="31"/>
  <c r="I56" i="31"/>
  <c r="I17" i="33"/>
  <c r="J37" i="31"/>
  <c r="B22" i="29"/>
  <c r="B21" i="29"/>
  <c r="B20" i="29"/>
  <c r="B19" i="29"/>
  <c r="B17" i="29"/>
  <c r="J56" i="31"/>
  <c r="K56" i="31"/>
  <c r="L56" i="31"/>
  <c r="G66" i="60"/>
  <c r="B48" i="57"/>
  <c r="B8" i="57"/>
  <c r="B36" i="57"/>
  <c r="B51" i="57"/>
  <c r="D48" i="57"/>
  <c r="C48" i="57"/>
  <c r="C8" i="57"/>
  <c r="C36" i="57"/>
  <c r="C51" i="57"/>
  <c r="D8" i="57"/>
  <c r="D36" i="57"/>
  <c r="D51" i="57"/>
  <c r="E48" i="57"/>
  <c r="E8" i="57"/>
  <c r="E36" i="57"/>
  <c r="E51" i="57"/>
  <c r="F51" i="57"/>
  <c r="G51" i="57"/>
  <c r="G81" i="60"/>
  <c r="B12" i="62"/>
  <c r="B11" i="62"/>
  <c r="B20" i="62"/>
  <c r="H52" i="63"/>
  <c r="G52" i="63"/>
  <c r="B18" i="62"/>
  <c r="I52" i="63"/>
  <c r="B52" i="63"/>
  <c r="B8" i="63"/>
  <c r="B38" i="63"/>
  <c r="B55" i="63"/>
  <c r="B13" i="62"/>
  <c r="C52" i="63"/>
  <c r="C8" i="63"/>
  <c r="C38" i="63"/>
  <c r="C55" i="63"/>
  <c r="D52" i="63"/>
  <c r="D8" i="63"/>
  <c r="D38" i="63"/>
  <c r="D55" i="63"/>
  <c r="E52" i="63"/>
  <c r="E8" i="63"/>
  <c r="E38" i="63"/>
  <c r="E55" i="63"/>
  <c r="F52" i="63"/>
  <c r="F8" i="63"/>
  <c r="F38" i="63"/>
  <c r="F55" i="63"/>
  <c r="G8" i="63"/>
  <c r="G38" i="63"/>
  <c r="G55" i="63"/>
  <c r="H8" i="63"/>
  <c r="H38" i="63"/>
  <c r="H55" i="63"/>
  <c r="I8" i="63"/>
  <c r="I38" i="63"/>
  <c r="I55" i="63"/>
  <c r="J55" i="63"/>
  <c r="K55" i="63"/>
  <c r="G94" i="60"/>
  <c r="N6" i="60"/>
  <c r="B50" i="53"/>
  <c r="C50" i="53"/>
  <c r="D50" i="53"/>
  <c r="E50" i="53"/>
  <c r="F50" i="53"/>
  <c r="G50" i="53"/>
  <c r="H36" i="53"/>
  <c r="H50" i="53"/>
  <c r="I36" i="53"/>
  <c r="I50" i="53"/>
  <c r="J50" i="53"/>
  <c r="K50" i="53"/>
  <c r="G7" i="60"/>
  <c r="B52" i="26"/>
  <c r="C52" i="26"/>
  <c r="D52" i="26"/>
  <c r="E52" i="26"/>
  <c r="F52" i="26"/>
  <c r="G52" i="26"/>
  <c r="H52" i="26"/>
  <c r="G42" i="60"/>
  <c r="C35" i="31"/>
  <c r="C54" i="31"/>
  <c r="D35" i="31"/>
  <c r="D54" i="31"/>
  <c r="E35" i="31"/>
  <c r="E54" i="31"/>
  <c r="F35" i="31"/>
  <c r="F54" i="31"/>
  <c r="G35" i="31"/>
  <c r="G54" i="31"/>
  <c r="H35" i="31"/>
  <c r="H54" i="31"/>
  <c r="I35" i="31"/>
  <c r="I54" i="31"/>
  <c r="J35" i="31"/>
  <c r="J54" i="31"/>
  <c r="K54" i="31"/>
  <c r="L54" i="31"/>
  <c r="G64" i="60"/>
  <c r="B37" i="57"/>
  <c r="B52" i="57"/>
  <c r="C37" i="57"/>
  <c r="C52" i="57"/>
  <c r="D37" i="57"/>
  <c r="D52" i="57"/>
  <c r="E37" i="57"/>
  <c r="E52" i="57"/>
  <c r="F52" i="57"/>
  <c r="G52" i="57"/>
  <c r="G82" i="60"/>
  <c r="B39" i="63"/>
  <c r="B56" i="63"/>
  <c r="C39" i="63"/>
  <c r="C56" i="63"/>
  <c r="D39" i="63"/>
  <c r="D56" i="63"/>
  <c r="E39" i="63"/>
  <c r="E56" i="63"/>
  <c r="F39" i="63"/>
  <c r="F56" i="63"/>
  <c r="G39" i="63"/>
  <c r="G56" i="63"/>
  <c r="H39" i="63"/>
  <c r="H56" i="63"/>
  <c r="I39" i="63"/>
  <c r="I56" i="63"/>
  <c r="J56" i="63"/>
  <c r="K56" i="63"/>
  <c r="G95" i="60"/>
  <c r="N7" i="60"/>
  <c r="B41" i="47"/>
  <c r="C41" i="47"/>
  <c r="D41" i="47"/>
  <c r="E41" i="47"/>
  <c r="F41" i="47"/>
  <c r="D47" i="15"/>
  <c r="D45" i="15"/>
  <c r="D49" i="15"/>
  <c r="D85" i="15"/>
  <c r="D151" i="15"/>
  <c r="K8" i="12"/>
  <c r="W10" i="12"/>
  <c r="D14" i="16"/>
  <c r="D48" i="15"/>
  <c r="D84" i="15"/>
  <c r="D150" i="15"/>
  <c r="D13" i="16"/>
  <c r="G103" i="16"/>
  <c r="G22" i="47"/>
  <c r="G41" i="47"/>
  <c r="N57" i="15"/>
  <c r="N60" i="15"/>
  <c r="N86" i="15"/>
  <c r="N154" i="15"/>
  <c r="AG12" i="12"/>
  <c r="N15" i="16"/>
  <c r="N59" i="15"/>
  <c r="N61" i="15"/>
  <c r="N87" i="15"/>
  <c r="N155" i="15"/>
  <c r="N16" i="16"/>
  <c r="O63" i="15"/>
  <c r="O66" i="15"/>
  <c r="O92" i="15"/>
  <c r="O166" i="15"/>
  <c r="AH13" i="12"/>
  <c r="O21" i="16"/>
  <c r="O65" i="15"/>
  <c r="O67" i="15"/>
  <c r="O93" i="15"/>
  <c r="O167" i="15"/>
  <c r="O22" i="16"/>
  <c r="H103" i="16"/>
  <c r="H22" i="47"/>
  <c r="H41" i="47"/>
  <c r="I41" i="47"/>
  <c r="J41" i="47"/>
  <c r="K41" i="47"/>
  <c r="L41" i="47"/>
  <c r="M41" i="47"/>
  <c r="N41" i="47"/>
  <c r="D51" i="15"/>
  <c r="D54" i="15"/>
  <c r="D90" i="15"/>
  <c r="D162" i="15"/>
  <c r="W11" i="12"/>
  <c r="D19" i="16"/>
  <c r="D53" i="15"/>
  <c r="D55" i="15"/>
  <c r="D91" i="15"/>
  <c r="D163" i="15"/>
  <c r="D20" i="16"/>
  <c r="E51" i="15"/>
  <c r="E54" i="15"/>
  <c r="E90" i="15"/>
  <c r="E162" i="15"/>
  <c r="X11" i="12"/>
  <c r="E19" i="16"/>
  <c r="E53" i="15"/>
  <c r="E55" i="15"/>
  <c r="E91" i="15"/>
  <c r="E163" i="15"/>
  <c r="E20" i="16"/>
  <c r="J103" i="16"/>
  <c r="O22" i="47"/>
  <c r="O41" i="47"/>
  <c r="N68" i="15"/>
  <c r="N69" i="15"/>
  <c r="N72" i="15"/>
  <c r="N94" i="15"/>
  <c r="N166" i="15"/>
  <c r="AG13" i="12"/>
  <c r="N21" i="16"/>
  <c r="N70" i="15"/>
  <c r="N71" i="15"/>
  <c r="N73" i="15"/>
  <c r="N95" i="15"/>
  <c r="N167" i="15"/>
  <c r="N22" i="16"/>
  <c r="K103" i="16"/>
  <c r="P22" i="47"/>
  <c r="P41" i="47"/>
  <c r="Q41" i="47"/>
  <c r="R41" i="47"/>
  <c r="S41" i="47"/>
  <c r="G19" i="60"/>
  <c r="B63" i="26"/>
  <c r="C63" i="26"/>
  <c r="D63" i="26"/>
  <c r="E63" i="26"/>
  <c r="F63" i="26"/>
  <c r="G63" i="26"/>
  <c r="H63" i="26"/>
  <c r="G53" i="60"/>
  <c r="N8" i="60"/>
  <c r="B53" i="53"/>
  <c r="C53" i="53"/>
  <c r="D53" i="53"/>
  <c r="E53" i="53"/>
  <c r="F53" i="53"/>
  <c r="G53" i="53"/>
  <c r="H39" i="53"/>
  <c r="H53" i="53"/>
  <c r="I39" i="53"/>
  <c r="I53" i="53"/>
  <c r="J53" i="53"/>
  <c r="K53" i="53"/>
  <c r="G10" i="60"/>
  <c r="B40" i="57"/>
  <c r="B55" i="57"/>
  <c r="C40" i="57"/>
  <c r="C55" i="57"/>
  <c r="D40" i="57"/>
  <c r="D55" i="57"/>
  <c r="E40" i="57"/>
  <c r="E55" i="57"/>
  <c r="F55" i="57"/>
  <c r="G55" i="57"/>
  <c r="G85" i="60"/>
  <c r="B44" i="63"/>
  <c r="B61" i="63"/>
  <c r="C44" i="63"/>
  <c r="C61" i="63"/>
  <c r="D44" i="63"/>
  <c r="D61" i="63"/>
  <c r="E44" i="63"/>
  <c r="E61" i="63"/>
  <c r="F44" i="63"/>
  <c r="F61" i="63"/>
  <c r="G44" i="63"/>
  <c r="G61" i="63"/>
  <c r="H44" i="63"/>
  <c r="H61" i="63"/>
  <c r="I44" i="63"/>
  <c r="I61" i="63"/>
  <c r="J61" i="63"/>
  <c r="K61" i="63"/>
  <c r="G100" i="60"/>
  <c r="N9" i="60"/>
  <c r="B54" i="53"/>
  <c r="C54" i="53"/>
  <c r="D54" i="53"/>
  <c r="E54" i="53"/>
  <c r="F54" i="53"/>
  <c r="G54" i="53"/>
  <c r="H40" i="53"/>
  <c r="H54" i="53"/>
  <c r="I40" i="53"/>
  <c r="I54" i="53"/>
  <c r="J54" i="53"/>
  <c r="K54" i="53"/>
  <c r="G11" i="60"/>
  <c r="C41" i="31"/>
  <c r="C60" i="31"/>
  <c r="D41" i="31"/>
  <c r="D60" i="31"/>
  <c r="E41" i="31"/>
  <c r="E60" i="31"/>
  <c r="F41" i="31"/>
  <c r="F60" i="31"/>
  <c r="G41" i="31"/>
  <c r="G60" i="31"/>
  <c r="H41" i="31"/>
  <c r="H60" i="31"/>
  <c r="I41" i="31"/>
  <c r="I60" i="31"/>
  <c r="J41" i="31"/>
  <c r="J60" i="31"/>
  <c r="K60" i="31"/>
  <c r="L60" i="31"/>
  <c r="G70" i="60"/>
  <c r="B61" i="26"/>
  <c r="C61" i="26"/>
  <c r="D61" i="26"/>
  <c r="E61" i="26"/>
  <c r="F61" i="26"/>
  <c r="G61" i="26"/>
  <c r="H61" i="26"/>
  <c r="G51" i="60"/>
  <c r="B47" i="47"/>
  <c r="C47" i="47"/>
  <c r="D47" i="47"/>
  <c r="E47" i="47"/>
  <c r="F47" i="47"/>
  <c r="G109" i="16"/>
  <c r="G28" i="47"/>
  <c r="G47" i="47"/>
  <c r="H28" i="47"/>
  <c r="H47" i="47"/>
  <c r="I47" i="47"/>
  <c r="J47" i="47"/>
  <c r="K47" i="47"/>
  <c r="L47" i="47"/>
  <c r="M47" i="47"/>
  <c r="N47" i="47"/>
  <c r="J109" i="16"/>
  <c r="O28" i="47"/>
  <c r="O47" i="47"/>
  <c r="P28" i="47"/>
  <c r="P47" i="47"/>
  <c r="Q47" i="47"/>
  <c r="R47" i="47"/>
  <c r="S47" i="47"/>
  <c r="G25" i="60"/>
  <c r="B41" i="57"/>
  <c r="B56" i="57"/>
  <c r="C41" i="57"/>
  <c r="C56" i="57"/>
  <c r="D41" i="57"/>
  <c r="D56" i="57"/>
  <c r="E41" i="57"/>
  <c r="E56" i="57"/>
  <c r="F56" i="57"/>
  <c r="G56" i="57"/>
  <c r="G86" i="60"/>
  <c r="B45" i="63"/>
  <c r="B62" i="63"/>
  <c r="C45" i="63"/>
  <c r="C62" i="63"/>
  <c r="D45" i="63"/>
  <c r="D62" i="63"/>
  <c r="E45" i="63"/>
  <c r="E62" i="63"/>
  <c r="F45" i="63"/>
  <c r="F62" i="63"/>
  <c r="G45" i="63"/>
  <c r="G62" i="63"/>
  <c r="H45" i="63"/>
  <c r="H62" i="63"/>
  <c r="I45" i="63"/>
  <c r="I62" i="63"/>
  <c r="J62" i="63"/>
  <c r="K62" i="63"/>
  <c r="G101" i="60"/>
  <c r="N10" i="60"/>
  <c r="B57" i="26"/>
  <c r="C57" i="26"/>
  <c r="D57" i="26"/>
  <c r="E57" i="26"/>
  <c r="F57" i="26"/>
  <c r="G57" i="26"/>
  <c r="H57" i="26"/>
  <c r="G47" i="60"/>
  <c r="C38" i="31"/>
  <c r="C57" i="31"/>
  <c r="D38" i="31"/>
  <c r="D57" i="31"/>
  <c r="E38" i="31"/>
  <c r="E57" i="31"/>
  <c r="F38" i="31"/>
  <c r="F57" i="31"/>
  <c r="G38" i="31"/>
  <c r="G57" i="31"/>
  <c r="H38" i="31"/>
  <c r="H57" i="31"/>
  <c r="I38" i="31"/>
  <c r="I57" i="31"/>
  <c r="J38" i="31"/>
  <c r="J57" i="31"/>
  <c r="K57" i="31"/>
  <c r="L57" i="31"/>
  <c r="G67" i="60"/>
  <c r="B43" i="57"/>
  <c r="B58" i="57"/>
  <c r="C43" i="57"/>
  <c r="C58" i="57"/>
  <c r="D43" i="57"/>
  <c r="D58" i="57"/>
  <c r="E43" i="57"/>
  <c r="E58" i="57"/>
  <c r="F58" i="57"/>
  <c r="G58" i="57"/>
  <c r="G88" i="60"/>
  <c r="B47" i="63"/>
  <c r="B64" i="63"/>
  <c r="C47" i="63"/>
  <c r="C64" i="63"/>
  <c r="D47" i="63"/>
  <c r="D64" i="63"/>
  <c r="E47" i="63"/>
  <c r="E64" i="63"/>
  <c r="F47" i="63"/>
  <c r="F64" i="63"/>
  <c r="G47" i="63"/>
  <c r="G64" i="63"/>
  <c r="H47" i="63"/>
  <c r="H64" i="63"/>
  <c r="I47" i="63"/>
  <c r="I64" i="63"/>
  <c r="J64" i="63"/>
  <c r="K64" i="63"/>
  <c r="G103" i="60"/>
  <c r="N11" i="60"/>
  <c r="B55" i="53"/>
  <c r="C55" i="53"/>
  <c r="D55" i="53"/>
  <c r="E55" i="53"/>
  <c r="F55" i="53"/>
  <c r="G55" i="53"/>
  <c r="H41" i="53"/>
  <c r="H55" i="53"/>
  <c r="I41" i="53"/>
  <c r="I55" i="53"/>
  <c r="J55" i="53"/>
  <c r="K55" i="53"/>
  <c r="G12" i="60"/>
  <c r="B53" i="26"/>
  <c r="C53" i="26"/>
  <c r="D53" i="26"/>
  <c r="E53" i="26"/>
  <c r="F53" i="26"/>
  <c r="G53" i="26"/>
  <c r="H53" i="26"/>
  <c r="G43" i="60"/>
  <c r="B65" i="26"/>
  <c r="C65" i="26"/>
  <c r="D65" i="26"/>
  <c r="E65" i="26"/>
  <c r="F65" i="26"/>
  <c r="G65" i="26"/>
  <c r="H65" i="26"/>
  <c r="G55" i="60"/>
  <c r="C36" i="31"/>
  <c r="C55" i="31"/>
  <c r="D36" i="31"/>
  <c r="D55" i="31"/>
  <c r="E36" i="31"/>
  <c r="E55" i="31"/>
  <c r="F36" i="31"/>
  <c r="F55" i="31"/>
  <c r="G36" i="31"/>
  <c r="G55" i="31"/>
  <c r="H36" i="31"/>
  <c r="H55" i="31"/>
  <c r="I36" i="31"/>
  <c r="I55" i="31"/>
  <c r="J36" i="31"/>
  <c r="J55" i="31"/>
  <c r="K55" i="31"/>
  <c r="L55" i="31"/>
  <c r="G65" i="60"/>
  <c r="B42" i="57"/>
  <c r="B57" i="57"/>
  <c r="C42" i="57"/>
  <c r="C57" i="57"/>
  <c r="D42" i="57"/>
  <c r="D57" i="57"/>
  <c r="E42" i="57"/>
  <c r="E57" i="57"/>
  <c r="F57" i="57"/>
  <c r="G57" i="57"/>
  <c r="G87" i="60"/>
  <c r="B46" i="63"/>
  <c r="B63" i="63"/>
  <c r="C46" i="63"/>
  <c r="C63" i="63"/>
  <c r="D46" i="63"/>
  <c r="D63" i="63"/>
  <c r="E46" i="63"/>
  <c r="E63" i="63"/>
  <c r="F46" i="63"/>
  <c r="F63" i="63"/>
  <c r="G46" i="63"/>
  <c r="G63" i="63"/>
  <c r="H46" i="63"/>
  <c r="H63" i="63"/>
  <c r="I46" i="63"/>
  <c r="I63" i="63"/>
  <c r="J63" i="63"/>
  <c r="K63" i="63"/>
  <c r="G102" i="60"/>
  <c r="B56" i="53"/>
  <c r="C56" i="53"/>
  <c r="D56" i="53"/>
  <c r="E56" i="53"/>
  <c r="F56" i="53"/>
  <c r="G56" i="53"/>
  <c r="H42" i="53"/>
  <c r="H56" i="53"/>
  <c r="I42" i="53"/>
  <c r="I56" i="53"/>
  <c r="J56" i="53"/>
  <c r="K56" i="53"/>
  <c r="G13" i="60"/>
  <c r="G27" i="60"/>
  <c r="B58" i="26"/>
  <c r="C58" i="26"/>
  <c r="D58" i="26"/>
  <c r="E58" i="26"/>
  <c r="F58" i="26"/>
  <c r="G58" i="26"/>
  <c r="H58" i="26"/>
  <c r="G48" i="60"/>
  <c r="C39" i="31"/>
  <c r="C58" i="31"/>
  <c r="D39" i="31"/>
  <c r="D58" i="31"/>
  <c r="E39" i="31"/>
  <c r="E58" i="31"/>
  <c r="F39" i="31"/>
  <c r="F58" i="31"/>
  <c r="G39" i="31"/>
  <c r="G58" i="31"/>
  <c r="H39" i="31"/>
  <c r="H58" i="31"/>
  <c r="I39" i="31"/>
  <c r="I58" i="31"/>
  <c r="J39" i="31"/>
  <c r="J58" i="31"/>
  <c r="K58" i="31"/>
  <c r="L58" i="31"/>
  <c r="G68" i="60"/>
  <c r="N12" i="60"/>
  <c r="C34" i="31"/>
  <c r="C53" i="31"/>
  <c r="D34" i="31"/>
  <c r="D53" i="31"/>
  <c r="E34" i="31"/>
  <c r="E53" i="31"/>
  <c r="F34" i="31"/>
  <c r="F53" i="31"/>
  <c r="G34" i="31"/>
  <c r="G53" i="31"/>
  <c r="H34" i="31"/>
  <c r="H53" i="31"/>
  <c r="I34" i="31"/>
  <c r="I53" i="31"/>
  <c r="J34" i="31"/>
  <c r="J53" i="31"/>
  <c r="K53" i="31"/>
  <c r="L53" i="31"/>
  <c r="G63" i="60"/>
  <c r="N13" i="60"/>
  <c r="B48" i="26"/>
  <c r="C48" i="26"/>
  <c r="D48" i="26"/>
  <c r="E48" i="26"/>
  <c r="F48" i="26"/>
  <c r="G48" i="26"/>
  <c r="H48" i="26"/>
  <c r="G38" i="60"/>
  <c r="F35" i="47"/>
  <c r="F54" i="47"/>
  <c r="R54" i="47"/>
  <c r="S54" i="47"/>
  <c r="G32" i="60"/>
  <c r="N14" i="60"/>
  <c r="C31" i="31"/>
  <c r="C50" i="31"/>
  <c r="D31" i="31"/>
  <c r="D50" i="31"/>
  <c r="E31" i="31"/>
  <c r="E50" i="31"/>
  <c r="F31" i="31"/>
  <c r="F50" i="31"/>
  <c r="G31" i="31"/>
  <c r="G50" i="31"/>
  <c r="H31" i="31"/>
  <c r="H50" i="31"/>
  <c r="I31" i="31"/>
  <c r="I50" i="31"/>
  <c r="J31" i="31"/>
  <c r="J50" i="31"/>
  <c r="K50" i="31"/>
  <c r="L50" i="31"/>
  <c r="G60" i="60"/>
  <c r="N15" i="60"/>
  <c r="B48" i="47"/>
  <c r="C48" i="47"/>
  <c r="D48" i="47"/>
  <c r="E48" i="47"/>
  <c r="F48" i="47"/>
  <c r="G110" i="16"/>
  <c r="G29" i="47"/>
  <c r="G48" i="47"/>
  <c r="H29" i="47"/>
  <c r="H48" i="47"/>
  <c r="I48" i="47"/>
  <c r="J48" i="47"/>
  <c r="K48" i="47"/>
  <c r="L48" i="47"/>
  <c r="M48" i="47"/>
  <c r="N48" i="47"/>
  <c r="J110" i="16"/>
  <c r="O29" i="47"/>
  <c r="O48" i="47"/>
  <c r="P29" i="47"/>
  <c r="P48" i="47"/>
  <c r="Q48" i="47"/>
  <c r="R48" i="47"/>
  <c r="S48" i="47"/>
  <c r="G26" i="60"/>
  <c r="D12" i="15"/>
  <c r="D13" i="15"/>
  <c r="D6" i="15"/>
  <c r="D7" i="15"/>
  <c r="L5" i="15"/>
  <c r="M5" i="15"/>
  <c r="N5" i="15"/>
  <c r="O5" i="15"/>
  <c r="D5" i="15"/>
  <c r="D14" i="15"/>
  <c r="D9" i="15"/>
  <c r="D15" i="15"/>
  <c r="D16" i="15"/>
  <c r="D76" i="15"/>
  <c r="D123" i="15"/>
  <c r="D134" i="15"/>
  <c r="D179" i="15"/>
  <c r="E11" i="15"/>
  <c r="E12" i="15"/>
  <c r="E13" i="15"/>
  <c r="E7" i="15"/>
  <c r="E5" i="15"/>
  <c r="E14" i="15"/>
  <c r="E10" i="15"/>
  <c r="E9" i="15"/>
  <c r="E15" i="15"/>
  <c r="E16" i="15"/>
  <c r="E76" i="15"/>
  <c r="E123" i="15"/>
  <c r="E134" i="15"/>
  <c r="E179" i="15"/>
  <c r="F11" i="15"/>
  <c r="F12" i="15"/>
  <c r="F13" i="15"/>
  <c r="F7" i="15"/>
  <c r="F5" i="15"/>
  <c r="F14" i="15"/>
  <c r="F10" i="15"/>
  <c r="F9" i="15"/>
  <c r="F15" i="15"/>
  <c r="F16" i="15"/>
  <c r="F76" i="15"/>
  <c r="F123" i="15"/>
  <c r="F134" i="15"/>
  <c r="F179" i="15"/>
  <c r="G11" i="15"/>
  <c r="G12" i="15"/>
  <c r="G13" i="15"/>
  <c r="G7" i="15"/>
  <c r="G14" i="15"/>
  <c r="G9" i="15"/>
  <c r="G15" i="15"/>
  <c r="G16" i="15"/>
  <c r="G76" i="15"/>
  <c r="G123" i="15"/>
  <c r="G134" i="15"/>
  <c r="G179" i="15"/>
  <c r="N11" i="15"/>
  <c r="N12" i="15"/>
  <c r="N13" i="15"/>
  <c r="N6" i="15"/>
  <c r="N7" i="15"/>
  <c r="N14" i="15"/>
  <c r="N9" i="15"/>
  <c r="N15" i="15"/>
  <c r="N16" i="15"/>
  <c r="N76" i="15"/>
  <c r="N123" i="15"/>
  <c r="N134" i="15"/>
  <c r="N179" i="15"/>
  <c r="O11" i="15"/>
  <c r="O12" i="15"/>
  <c r="O13" i="15"/>
  <c r="O6" i="15"/>
  <c r="O7" i="15"/>
  <c r="O14" i="15"/>
  <c r="O9" i="15"/>
  <c r="O15" i="15"/>
  <c r="O16" i="15"/>
  <c r="O76" i="15"/>
  <c r="O123" i="15"/>
  <c r="O134" i="15"/>
  <c r="O179" i="15"/>
  <c r="B33" i="47"/>
  <c r="B52" i="47"/>
  <c r="D18" i="15"/>
  <c r="D19" i="15"/>
  <c r="D77" i="15"/>
  <c r="D136" i="15"/>
  <c r="D181" i="15"/>
  <c r="E19" i="15"/>
  <c r="E77" i="15"/>
  <c r="E136" i="15"/>
  <c r="E181" i="15"/>
  <c r="F19" i="15"/>
  <c r="F77" i="15"/>
  <c r="F136" i="15"/>
  <c r="F181" i="15"/>
  <c r="G19" i="15"/>
  <c r="G77" i="15"/>
  <c r="G136" i="15"/>
  <c r="G181" i="15"/>
  <c r="N19" i="15"/>
  <c r="N77" i="15"/>
  <c r="N136" i="15"/>
  <c r="N181" i="15"/>
  <c r="O19" i="15"/>
  <c r="O77" i="15"/>
  <c r="O136" i="15"/>
  <c r="O181" i="15"/>
  <c r="Q181" i="15"/>
  <c r="C33" i="47"/>
  <c r="C52" i="47"/>
  <c r="D130" i="15"/>
  <c r="D138" i="15"/>
  <c r="D131" i="15"/>
  <c r="D139" i="15"/>
  <c r="D140" i="15"/>
  <c r="D183" i="15"/>
  <c r="E130" i="15"/>
  <c r="E138" i="15"/>
  <c r="E131" i="15"/>
  <c r="E139" i="15"/>
  <c r="E140" i="15"/>
  <c r="E183" i="15"/>
  <c r="F130" i="15"/>
  <c r="F138" i="15"/>
  <c r="F131" i="15"/>
  <c r="F139" i="15"/>
  <c r="F140" i="15"/>
  <c r="F183" i="15"/>
  <c r="G2" i="14"/>
  <c r="G20" i="15"/>
  <c r="G21" i="15"/>
  <c r="G4" i="14"/>
  <c r="J4" i="14"/>
  <c r="H20" i="15"/>
  <c r="H21" i="15"/>
  <c r="G22" i="15"/>
  <c r="H22" i="15"/>
  <c r="I20" i="15"/>
  <c r="I21" i="15"/>
  <c r="I22" i="15"/>
  <c r="J20" i="15"/>
  <c r="J21" i="15"/>
  <c r="J22" i="15"/>
  <c r="K20" i="15"/>
  <c r="K21" i="15"/>
  <c r="K22" i="15"/>
  <c r="L20" i="15"/>
  <c r="L21" i="15"/>
  <c r="L22" i="15"/>
  <c r="M20" i="15"/>
  <c r="M21" i="15"/>
  <c r="Q21" i="15"/>
  <c r="R21" i="15"/>
  <c r="S21" i="15"/>
  <c r="H9" i="15"/>
  <c r="I9" i="15"/>
  <c r="J9" i="15"/>
  <c r="K9" i="15"/>
  <c r="L9" i="15"/>
  <c r="M9" i="15"/>
  <c r="T21" i="15"/>
  <c r="V21" i="15"/>
  <c r="W21" i="15"/>
  <c r="G24" i="15"/>
  <c r="G78" i="15"/>
  <c r="G130" i="15"/>
  <c r="G138" i="15"/>
  <c r="G23" i="15"/>
  <c r="G25" i="15"/>
  <c r="G79" i="15"/>
  <c r="G131" i="15"/>
  <c r="G139" i="15"/>
  <c r="G140" i="15"/>
  <c r="G183" i="15"/>
  <c r="N78" i="15"/>
  <c r="N138" i="15"/>
  <c r="N79" i="15"/>
  <c r="N139" i="15"/>
  <c r="N140" i="15"/>
  <c r="N183" i="15"/>
  <c r="O138" i="15"/>
  <c r="O139" i="15"/>
  <c r="O140" i="15"/>
  <c r="O183" i="15"/>
  <c r="Q183" i="15"/>
  <c r="D33" i="47"/>
  <c r="D52" i="47"/>
  <c r="D187" i="15"/>
  <c r="E187" i="15"/>
  <c r="F187" i="15"/>
  <c r="R2" i="14"/>
  <c r="G26" i="15"/>
  <c r="G27" i="15"/>
  <c r="R4" i="14"/>
  <c r="U4" i="14"/>
  <c r="H26" i="15"/>
  <c r="H27" i="15"/>
  <c r="G28" i="15"/>
  <c r="H28" i="15"/>
  <c r="I26" i="15"/>
  <c r="I27" i="15"/>
  <c r="I28" i="15"/>
  <c r="J26" i="15"/>
  <c r="J27" i="15"/>
  <c r="J28" i="15"/>
  <c r="K26" i="15"/>
  <c r="K27" i="15"/>
  <c r="K28" i="15"/>
  <c r="L26" i="15"/>
  <c r="L27" i="15"/>
  <c r="L28" i="15"/>
  <c r="M26" i="15"/>
  <c r="M27" i="15"/>
  <c r="Q27" i="15"/>
  <c r="R27" i="15"/>
  <c r="S27" i="15"/>
  <c r="T27" i="15"/>
  <c r="V27" i="15"/>
  <c r="W27" i="15"/>
  <c r="G30" i="15"/>
  <c r="G80" i="15"/>
  <c r="G142" i="15"/>
  <c r="G29" i="15"/>
  <c r="G31" i="15"/>
  <c r="G81" i="15"/>
  <c r="G143" i="15"/>
  <c r="G144" i="15"/>
  <c r="G187" i="15"/>
  <c r="N80" i="15"/>
  <c r="N142" i="15"/>
  <c r="N81" i="15"/>
  <c r="N143" i="15"/>
  <c r="N144" i="15"/>
  <c r="N187" i="15"/>
  <c r="O142" i="15"/>
  <c r="O143" i="15"/>
  <c r="O144" i="15"/>
  <c r="O187" i="15"/>
  <c r="Q187" i="15"/>
  <c r="E33" i="47"/>
  <c r="E52" i="47"/>
  <c r="F33" i="47"/>
  <c r="F52" i="47"/>
  <c r="G52" i="47"/>
  <c r="H52" i="47"/>
  <c r="P3" i="50"/>
  <c r="I33" i="47"/>
  <c r="I52" i="47"/>
  <c r="P5" i="50"/>
  <c r="J33" i="47"/>
  <c r="J52" i="47"/>
  <c r="P7" i="50"/>
  <c r="K33" i="47"/>
  <c r="K52" i="47"/>
  <c r="P9" i="50"/>
  <c r="L33" i="47"/>
  <c r="L52" i="47"/>
  <c r="P11" i="50"/>
  <c r="M33" i="47"/>
  <c r="M52" i="47"/>
  <c r="P13" i="50"/>
  <c r="N33" i="47"/>
  <c r="N52" i="47"/>
  <c r="O52" i="47"/>
  <c r="P52" i="47"/>
  <c r="O68" i="15"/>
  <c r="O70" i="15"/>
  <c r="D68" i="15"/>
  <c r="D69" i="15"/>
  <c r="D72" i="15"/>
  <c r="D94" i="15"/>
  <c r="D170" i="15"/>
  <c r="D71" i="15"/>
  <c r="D73" i="15"/>
  <c r="D95" i="15"/>
  <c r="D124" i="15"/>
  <c r="D171" i="15"/>
  <c r="D172" i="15"/>
  <c r="D215" i="15"/>
  <c r="E68" i="15"/>
  <c r="E69" i="15"/>
  <c r="E72" i="15"/>
  <c r="E94" i="15"/>
  <c r="E170" i="15"/>
  <c r="E70" i="15"/>
  <c r="E71" i="15"/>
  <c r="E73" i="15"/>
  <c r="E95" i="15"/>
  <c r="E124" i="15"/>
  <c r="E171" i="15"/>
  <c r="E172" i="15"/>
  <c r="E215" i="15"/>
  <c r="F68" i="15"/>
  <c r="F69" i="15"/>
  <c r="F72" i="15"/>
  <c r="F94" i="15"/>
  <c r="F170" i="15"/>
  <c r="F70" i="15"/>
  <c r="F71" i="15"/>
  <c r="F73" i="15"/>
  <c r="F95" i="15"/>
  <c r="F124" i="15"/>
  <c r="F171" i="15"/>
  <c r="F172" i="15"/>
  <c r="F215" i="15"/>
  <c r="G68" i="15"/>
  <c r="G69" i="15"/>
  <c r="G72" i="15"/>
  <c r="G94" i="15"/>
  <c r="G170" i="15"/>
  <c r="G70" i="15"/>
  <c r="G71" i="15"/>
  <c r="G73" i="15"/>
  <c r="G95" i="15"/>
  <c r="G124" i="15"/>
  <c r="G171" i="15"/>
  <c r="G172" i="15"/>
  <c r="G215" i="15"/>
  <c r="N170" i="15"/>
  <c r="N124" i="15"/>
  <c r="N171" i="15"/>
  <c r="N172" i="15"/>
  <c r="N215" i="15"/>
  <c r="O69" i="15"/>
  <c r="O72" i="15"/>
  <c r="O94" i="15"/>
  <c r="O170" i="15"/>
  <c r="O71" i="15"/>
  <c r="O73" i="15"/>
  <c r="O95" i="15"/>
  <c r="O124" i="15"/>
  <c r="O171" i="15"/>
  <c r="O172" i="15"/>
  <c r="O215" i="15"/>
  <c r="Q215" i="15"/>
  <c r="Q33" i="47"/>
  <c r="Q52" i="47"/>
  <c r="R52" i="47"/>
  <c r="S52" i="47"/>
  <c r="G30" i="60"/>
  <c r="H11" i="15"/>
  <c r="H12" i="15"/>
  <c r="H13" i="15"/>
  <c r="H14" i="15"/>
  <c r="H10" i="15"/>
  <c r="H15" i="15"/>
  <c r="H16" i="15"/>
  <c r="H76" i="15"/>
  <c r="H123" i="15"/>
  <c r="H134" i="15"/>
  <c r="H179" i="15"/>
  <c r="I11" i="15"/>
  <c r="I12" i="15"/>
  <c r="I13" i="15"/>
  <c r="I14" i="15"/>
  <c r="I10" i="15"/>
  <c r="I15" i="15"/>
  <c r="I16" i="15"/>
  <c r="I76" i="15"/>
  <c r="I123" i="15"/>
  <c r="I134" i="15"/>
  <c r="I179" i="15"/>
  <c r="J11" i="15"/>
  <c r="J12" i="15"/>
  <c r="J13" i="15"/>
  <c r="J7" i="15"/>
  <c r="J14" i="15"/>
  <c r="J10" i="15"/>
  <c r="J15" i="15"/>
  <c r="J16" i="15"/>
  <c r="J76" i="15"/>
  <c r="J123" i="15"/>
  <c r="J134" i="15"/>
  <c r="J179" i="15"/>
  <c r="K11" i="15"/>
  <c r="K12" i="15"/>
  <c r="K13" i="15"/>
  <c r="K6" i="15"/>
  <c r="K7" i="15"/>
  <c r="K14" i="15"/>
  <c r="K10" i="15"/>
  <c r="K15" i="15"/>
  <c r="K16" i="15"/>
  <c r="K76" i="15"/>
  <c r="K123" i="15"/>
  <c r="K134" i="15"/>
  <c r="K179" i="15"/>
  <c r="L11" i="15"/>
  <c r="L12" i="15"/>
  <c r="L13" i="15"/>
  <c r="L6" i="15"/>
  <c r="L7" i="15"/>
  <c r="L14" i="15"/>
  <c r="L10" i="15"/>
  <c r="L15" i="15"/>
  <c r="L16" i="15"/>
  <c r="L76" i="15"/>
  <c r="L123" i="15"/>
  <c r="L134" i="15"/>
  <c r="L179" i="15"/>
  <c r="M11" i="15"/>
  <c r="M12" i="15"/>
  <c r="M13" i="15"/>
  <c r="M6" i="15"/>
  <c r="M7" i="15"/>
  <c r="M14" i="15"/>
  <c r="M10" i="15"/>
  <c r="M15" i="15"/>
  <c r="M16" i="15"/>
  <c r="M76" i="15"/>
  <c r="M123" i="15"/>
  <c r="M134" i="15"/>
  <c r="M179" i="15"/>
  <c r="B34" i="47"/>
  <c r="B53" i="47"/>
  <c r="H19" i="15"/>
  <c r="H77" i="15"/>
  <c r="H136" i="15"/>
  <c r="H181" i="15"/>
  <c r="I19" i="15"/>
  <c r="I77" i="15"/>
  <c r="I136" i="15"/>
  <c r="I181" i="15"/>
  <c r="J19" i="15"/>
  <c r="J77" i="15"/>
  <c r="J136" i="15"/>
  <c r="J181" i="15"/>
  <c r="K19" i="15"/>
  <c r="K77" i="15"/>
  <c r="K136" i="15"/>
  <c r="K181" i="15"/>
  <c r="L19" i="15"/>
  <c r="L77" i="15"/>
  <c r="L136" i="15"/>
  <c r="L181" i="15"/>
  <c r="M19" i="15"/>
  <c r="M77" i="15"/>
  <c r="M136" i="15"/>
  <c r="M181" i="15"/>
  <c r="R181" i="15"/>
  <c r="C34" i="47"/>
  <c r="C53" i="47"/>
  <c r="H24" i="15"/>
  <c r="H78" i="15"/>
  <c r="H130" i="15"/>
  <c r="H138" i="15"/>
  <c r="H23" i="15"/>
  <c r="H25" i="15"/>
  <c r="H79" i="15"/>
  <c r="H131" i="15"/>
  <c r="H139" i="15"/>
  <c r="H140" i="15"/>
  <c r="H183" i="15"/>
  <c r="I24" i="15"/>
  <c r="I78" i="15"/>
  <c r="I130" i="15"/>
  <c r="I138" i="15"/>
  <c r="I23" i="15"/>
  <c r="I25" i="15"/>
  <c r="I79" i="15"/>
  <c r="I131" i="15"/>
  <c r="I139" i="15"/>
  <c r="I140" i="15"/>
  <c r="I183" i="15"/>
  <c r="J24" i="15"/>
  <c r="J78" i="15"/>
  <c r="J130" i="15"/>
  <c r="J138" i="15"/>
  <c r="J23" i="15"/>
  <c r="J25" i="15"/>
  <c r="J79" i="15"/>
  <c r="J131" i="15"/>
  <c r="J139" i="15"/>
  <c r="J140" i="15"/>
  <c r="J183" i="15"/>
  <c r="K24" i="15"/>
  <c r="K78" i="15"/>
  <c r="K130" i="15"/>
  <c r="K138" i="15"/>
  <c r="K23" i="15"/>
  <c r="K25" i="15"/>
  <c r="K79" i="15"/>
  <c r="K131" i="15"/>
  <c r="K139" i="15"/>
  <c r="K140" i="15"/>
  <c r="K183" i="15"/>
  <c r="L24" i="15"/>
  <c r="L78" i="15"/>
  <c r="L130" i="15"/>
  <c r="L138" i="15"/>
  <c r="L23" i="15"/>
  <c r="L25" i="15"/>
  <c r="L79" i="15"/>
  <c r="L131" i="15"/>
  <c r="L139" i="15"/>
  <c r="L140" i="15"/>
  <c r="L183" i="15"/>
  <c r="M24" i="15"/>
  <c r="M78" i="15"/>
  <c r="M130" i="15"/>
  <c r="M138" i="15"/>
  <c r="M23" i="15"/>
  <c r="M25" i="15"/>
  <c r="M79" i="15"/>
  <c r="M131" i="15"/>
  <c r="M139" i="15"/>
  <c r="M140" i="15"/>
  <c r="M183" i="15"/>
  <c r="R183" i="15"/>
  <c r="D34" i="47"/>
  <c r="D53" i="47"/>
  <c r="H30" i="15"/>
  <c r="H80" i="15"/>
  <c r="H142" i="15"/>
  <c r="H29" i="15"/>
  <c r="H31" i="15"/>
  <c r="H81" i="15"/>
  <c r="H143" i="15"/>
  <c r="H144" i="15"/>
  <c r="H187" i="15"/>
  <c r="I30" i="15"/>
  <c r="I80" i="15"/>
  <c r="I142" i="15"/>
  <c r="I29" i="15"/>
  <c r="I31" i="15"/>
  <c r="I81" i="15"/>
  <c r="I143" i="15"/>
  <c r="I144" i="15"/>
  <c r="I187" i="15"/>
  <c r="J30" i="15"/>
  <c r="J80" i="15"/>
  <c r="J142" i="15"/>
  <c r="J29" i="15"/>
  <c r="J31" i="15"/>
  <c r="J81" i="15"/>
  <c r="J143" i="15"/>
  <c r="J144" i="15"/>
  <c r="J187" i="15"/>
  <c r="K30" i="15"/>
  <c r="K80" i="15"/>
  <c r="K142" i="15"/>
  <c r="K29" i="15"/>
  <c r="K31" i="15"/>
  <c r="K81" i="15"/>
  <c r="K143" i="15"/>
  <c r="K144" i="15"/>
  <c r="K187" i="15"/>
  <c r="L30" i="15"/>
  <c r="L80" i="15"/>
  <c r="L142" i="15"/>
  <c r="L29" i="15"/>
  <c r="L31" i="15"/>
  <c r="L81" i="15"/>
  <c r="L143" i="15"/>
  <c r="L144" i="15"/>
  <c r="L187" i="15"/>
  <c r="M30" i="15"/>
  <c r="M80" i="15"/>
  <c r="M142" i="15"/>
  <c r="M29" i="15"/>
  <c r="M31" i="15"/>
  <c r="M81" i="15"/>
  <c r="M143" i="15"/>
  <c r="M144" i="15"/>
  <c r="M187" i="15"/>
  <c r="R187" i="15"/>
  <c r="E34" i="47"/>
  <c r="E53" i="47"/>
  <c r="F34" i="47"/>
  <c r="F53" i="47"/>
  <c r="G53" i="47"/>
  <c r="H53" i="47"/>
  <c r="Q3" i="50"/>
  <c r="I34" i="47"/>
  <c r="I53" i="47"/>
  <c r="Q5" i="50"/>
  <c r="J34" i="47"/>
  <c r="J53" i="47"/>
  <c r="Q7" i="50"/>
  <c r="K34" i="47"/>
  <c r="K53" i="47"/>
  <c r="Q9" i="50"/>
  <c r="L34" i="47"/>
  <c r="L53" i="47"/>
  <c r="Q11" i="50"/>
  <c r="M34" i="47"/>
  <c r="M53" i="47"/>
  <c r="Q13" i="50"/>
  <c r="N34" i="47"/>
  <c r="N53" i="47"/>
  <c r="O53" i="47"/>
  <c r="P53" i="47"/>
  <c r="H68" i="15"/>
  <c r="H69" i="15"/>
  <c r="H72" i="15"/>
  <c r="H94" i="15"/>
  <c r="H170" i="15"/>
  <c r="H71" i="15"/>
  <c r="H73" i="15"/>
  <c r="H95" i="15"/>
  <c r="H124" i="15"/>
  <c r="H171" i="15"/>
  <c r="H172" i="15"/>
  <c r="H215" i="15"/>
  <c r="I68" i="15"/>
  <c r="I69" i="15"/>
  <c r="I72" i="15"/>
  <c r="I94" i="15"/>
  <c r="I170" i="15"/>
  <c r="I70" i="15"/>
  <c r="I71" i="15"/>
  <c r="I73" i="15"/>
  <c r="I95" i="15"/>
  <c r="I124" i="15"/>
  <c r="I171" i="15"/>
  <c r="I172" i="15"/>
  <c r="I215" i="15"/>
  <c r="J68" i="15"/>
  <c r="J69" i="15"/>
  <c r="J72" i="15"/>
  <c r="J94" i="15"/>
  <c r="J170" i="15"/>
  <c r="J70" i="15"/>
  <c r="J71" i="15"/>
  <c r="J73" i="15"/>
  <c r="J95" i="15"/>
  <c r="J124" i="15"/>
  <c r="J171" i="15"/>
  <c r="J172" i="15"/>
  <c r="J215" i="15"/>
  <c r="K94" i="15"/>
  <c r="K170" i="15"/>
  <c r="K95" i="15"/>
  <c r="K124" i="15"/>
  <c r="K171" i="15"/>
  <c r="K172" i="15"/>
  <c r="K215" i="15"/>
  <c r="L94" i="15"/>
  <c r="L170" i="15"/>
  <c r="L95" i="15"/>
  <c r="L124" i="15"/>
  <c r="L171" i="15"/>
  <c r="L172" i="15"/>
  <c r="L215" i="15"/>
  <c r="M94" i="15"/>
  <c r="M170" i="15"/>
  <c r="M95" i="15"/>
  <c r="M124" i="15"/>
  <c r="M171" i="15"/>
  <c r="M172" i="15"/>
  <c r="M215" i="15"/>
  <c r="R215" i="15"/>
  <c r="Q34" i="47"/>
  <c r="Q53" i="47"/>
  <c r="R53" i="47"/>
  <c r="S53" i="47"/>
  <c r="G31" i="60"/>
  <c r="B54" i="26"/>
  <c r="C54" i="26"/>
  <c r="D54" i="26"/>
  <c r="E54" i="26"/>
  <c r="F54" i="26"/>
  <c r="G54" i="26"/>
  <c r="H54" i="26"/>
  <c r="G44" i="60"/>
  <c r="N16" i="60"/>
  <c r="B59" i="26"/>
  <c r="C59" i="26"/>
  <c r="D59" i="26"/>
  <c r="E59" i="26"/>
  <c r="F59" i="26"/>
  <c r="G59" i="26"/>
  <c r="H59" i="26"/>
  <c r="G49" i="60"/>
  <c r="N17" i="60"/>
  <c r="B64" i="26"/>
  <c r="C64" i="26"/>
  <c r="D64" i="26"/>
  <c r="E64" i="26"/>
  <c r="F64" i="26"/>
  <c r="G64" i="26"/>
  <c r="H64" i="26"/>
  <c r="G54" i="60"/>
  <c r="N18" i="60"/>
  <c r="B56" i="26"/>
  <c r="C56" i="26"/>
  <c r="D56" i="26"/>
  <c r="E56" i="26"/>
  <c r="F56" i="26"/>
  <c r="G56" i="26"/>
  <c r="H56" i="26"/>
  <c r="G46" i="60"/>
  <c r="B60" i="26"/>
  <c r="C60" i="26"/>
  <c r="D60" i="26"/>
  <c r="E60" i="26"/>
  <c r="F60" i="26"/>
  <c r="G60" i="26"/>
  <c r="H60" i="26"/>
  <c r="G50" i="60"/>
  <c r="N19" i="60"/>
  <c r="B52" i="53"/>
  <c r="C52" i="53"/>
  <c r="D52" i="53"/>
  <c r="E52" i="53"/>
  <c r="F52" i="53"/>
  <c r="G52" i="53"/>
  <c r="H38" i="53"/>
  <c r="H52" i="53"/>
  <c r="I38" i="53"/>
  <c r="I52" i="53"/>
  <c r="J52" i="53"/>
  <c r="K52" i="53"/>
  <c r="G9" i="60"/>
  <c r="N20" i="60"/>
  <c r="B42" i="63"/>
  <c r="B59" i="63"/>
  <c r="C42" i="63"/>
  <c r="C59" i="63"/>
  <c r="D42" i="63"/>
  <c r="D59" i="63"/>
  <c r="E42" i="63"/>
  <c r="E59" i="63"/>
  <c r="F42" i="63"/>
  <c r="F59" i="63"/>
  <c r="G42" i="63"/>
  <c r="G59" i="63"/>
  <c r="H42" i="63"/>
  <c r="H59" i="63"/>
  <c r="I42" i="63"/>
  <c r="I59" i="63"/>
  <c r="J59" i="63"/>
  <c r="K59" i="63"/>
  <c r="G98" i="60"/>
  <c r="N21" i="60"/>
  <c r="B43" i="63"/>
  <c r="B60" i="63"/>
  <c r="C43" i="63"/>
  <c r="C60" i="63"/>
  <c r="D43" i="63"/>
  <c r="D60" i="63"/>
  <c r="E43" i="63"/>
  <c r="E60" i="63"/>
  <c r="F43" i="63"/>
  <c r="F60" i="63"/>
  <c r="G43" i="63"/>
  <c r="G60" i="63"/>
  <c r="H43" i="63"/>
  <c r="H60" i="63"/>
  <c r="I43" i="63"/>
  <c r="I60" i="63"/>
  <c r="J60" i="63"/>
  <c r="K60" i="63"/>
  <c r="G99" i="60"/>
  <c r="N22" i="60"/>
  <c r="B49" i="26"/>
  <c r="C49" i="26"/>
  <c r="D49" i="26"/>
  <c r="E49" i="26"/>
  <c r="F49" i="26"/>
  <c r="G49" i="26"/>
  <c r="H49" i="26"/>
  <c r="G39" i="60"/>
  <c r="N23" i="60"/>
  <c r="N24" i="60"/>
  <c r="N25" i="60"/>
  <c r="N26" i="60"/>
  <c r="B46" i="61"/>
  <c r="D47" i="61"/>
  <c r="B36" i="13"/>
  <c r="D9" i="49"/>
  <c r="D37" i="61"/>
  <c r="B38" i="57"/>
  <c r="B39" i="57"/>
  <c r="B34" i="57"/>
  <c r="B44" i="57"/>
  <c r="B16" i="57"/>
  <c r="C38" i="57"/>
  <c r="C39" i="57"/>
  <c r="C34" i="57"/>
  <c r="C44" i="57"/>
  <c r="C16" i="57"/>
  <c r="D38" i="57"/>
  <c r="D39" i="57"/>
  <c r="D34" i="57"/>
  <c r="D44" i="57"/>
  <c r="D16" i="57"/>
  <c r="E38" i="57"/>
  <c r="E39" i="57"/>
  <c r="E34" i="57"/>
  <c r="E44" i="57"/>
  <c r="E16" i="57"/>
  <c r="C18" i="59"/>
  <c r="D6" i="59"/>
  <c r="D13" i="61"/>
  <c r="B16" i="62"/>
  <c r="D6" i="65"/>
  <c r="D5" i="61"/>
  <c r="F4" i="63"/>
  <c r="B9" i="64"/>
  <c r="D20" i="65"/>
  <c r="B8" i="62"/>
  <c r="B19" i="64"/>
  <c r="B19" i="62"/>
  <c r="B10" i="64"/>
  <c r="B21" i="62"/>
  <c r="D22" i="65"/>
  <c r="D7" i="65"/>
  <c r="D6" i="61"/>
  <c r="D8" i="65"/>
  <c r="D7" i="61"/>
  <c r="B40" i="13"/>
  <c r="B27" i="13"/>
  <c r="B41" i="13"/>
  <c r="D10" i="49"/>
  <c r="D38" i="61"/>
  <c r="F24" i="55"/>
  <c r="F25" i="55"/>
  <c r="D7" i="55"/>
  <c r="D19" i="61"/>
  <c r="D51" i="61"/>
  <c r="C9" i="37"/>
  <c r="C27" i="61"/>
  <c r="C32" i="31"/>
  <c r="C51" i="31"/>
  <c r="D32" i="31"/>
  <c r="D51" i="31"/>
  <c r="E32" i="31"/>
  <c r="E51" i="31"/>
  <c r="F32" i="31"/>
  <c r="F51" i="31"/>
  <c r="G32" i="31"/>
  <c r="G51" i="31"/>
  <c r="H32" i="31"/>
  <c r="H51" i="31"/>
  <c r="I32" i="31"/>
  <c r="I51" i="31"/>
  <c r="J32" i="31"/>
  <c r="J51" i="31"/>
  <c r="K51" i="31"/>
  <c r="L51" i="31"/>
  <c r="C33" i="31"/>
  <c r="C52" i="31"/>
  <c r="D33" i="31"/>
  <c r="D52" i="31"/>
  <c r="E33" i="31"/>
  <c r="E52" i="31"/>
  <c r="F33" i="31"/>
  <c r="F52" i="31"/>
  <c r="G33" i="31"/>
  <c r="G52" i="31"/>
  <c r="H33" i="31"/>
  <c r="H52" i="31"/>
  <c r="I33" i="31"/>
  <c r="I52" i="31"/>
  <c r="J33" i="31"/>
  <c r="J52" i="31"/>
  <c r="K52" i="31"/>
  <c r="L52" i="31"/>
  <c r="C40" i="31"/>
  <c r="C59" i="31"/>
  <c r="D40" i="31"/>
  <c r="D59" i="31"/>
  <c r="E40" i="31"/>
  <c r="E59" i="31"/>
  <c r="F40" i="31"/>
  <c r="F59" i="31"/>
  <c r="G40" i="31"/>
  <c r="G59" i="31"/>
  <c r="H40" i="31"/>
  <c r="H59" i="31"/>
  <c r="I40" i="31"/>
  <c r="I59" i="31"/>
  <c r="J40" i="31"/>
  <c r="J59" i="31"/>
  <c r="K59" i="31"/>
  <c r="L59" i="31"/>
  <c r="C42" i="31"/>
  <c r="C61" i="31"/>
  <c r="D42" i="31"/>
  <c r="D61" i="31"/>
  <c r="E42" i="31"/>
  <c r="E61" i="31"/>
  <c r="F42" i="31"/>
  <c r="F61" i="31"/>
  <c r="G42" i="31"/>
  <c r="G61" i="31"/>
  <c r="H42" i="31"/>
  <c r="H61" i="31"/>
  <c r="I42" i="31"/>
  <c r="I61" i="31"/>
  <c r="J42" i="31"/>
  <c r="J61" i="31"/>
  <c r="K61" i="31"/>
  <c r="L61" i="31"/>
  <c r="C43" i="31"/>
  <c r="C62" i="31"/>
  <c r="D43" i="31"/>
  <c r="D62" i="31"/>
  <c r="E43" i="31"/>
  <c r="E62" i="31"/>
  <c r="F43" i="31"/>
  <c r="F62" i="31"/>
  <c r="G43" i="31"/>
  <c r="G62" i="31"/>
  <c r="H43" i="31"/>
  <c r="H62" i="31"/>
  <c r="I43" i="31"/>
  <c r="I62" i="31"/>
  <c r="J43" i="31"/>
  <c r="J62" i="31"/>
  <c r="K62" i="31"/>
  <c r="L62" i="31"/>
  <c r="C44" i="31"/>
  <c r="C63" i="31"/>
  <c r="D44" i="31"/>
  <c r="D63" i="31"/>
  <c r="E44" i="31"/>
  <c r="E63" i="31"/>
  <c r="F44" i="31"/>
  <c r="F63" i="31"/>
  <c r="G44" i="31"/>
  <c r="G63" i="31"/>
  <c r="H44" i="31"/>
  <c r="H63" i="31"/>
  <c r="I44" i="31"/>
  <c r="I63" i="31"/>
  <c r="J44" i="31"/>
  <c r="J63" i="31"/>
  <c r="K63" i="31"/>
  <c r="L63" i="31"/>
  <c r="C45" i="31"/>
  <c r="C64" i="31"/>
  <c r="D45" i="31"/>
  <c r="D64" i="31"/>
  <c r="E45" i="31"/>
  <c r="E64" i="31"/>
  <c r="F45" i="31"/>
  <c r="F64" i="31"/>
  <c r="G45" i="31"/>
  <c r="G64" i="31"/>
  <c r="H45" i="31"/>
  <c r="H64" i="31"/>
  <c r="I45" i="31"/>
  <c r="I64" i="31"/>
  <c r="J45" i="31"/>
  <c r="J64" i="31"/>
  <c r="K64" i="31"/>
  <c r="L64" i="31"/>
  <c r="B46" i="31"/>
  <c r="B65" i="31"/>
  <c r="L65" i="31"/>
  <c r="L66" i="31"/>
  <c r="B3" i="37"/>
  <c r="H11" i="34"/>
  <c r="B7" i="37"/>
  <c r="B14" i="29"/>
  <c r="H9" i="34"/>
  <c r="I9" i="34"/>
  <c r="H10" i="34"/>
  <c r="I10" i="34"/>
  <c r="I11" i="34"/>
  <c r="E13" i="34"/>
  <c r="H13" i="34"/>
  <c r="I13" i="34"/>
  <c r="H16" i="34"/>
  <c r="I16" i="34"/>
  <c r="H19" i="34"/>
  <c r="I19" i="34"/>
  <c r="H20" i="34"/>
  <c r="I20" i="34"/>
  <c r="I22" i="34"/>
  <c r="C5" i="37"/>
  <c r="C10" i="37"/>
  <c r="D12" i="37"/>
  <c r="C8" i="49"/>
  <c r="C43" i="61"/>
  <c r="M43" i="61"/>
  <c r="P43" i="61"/>
  <c r="K43" i="61"/>
  <c r="E23" i="55"/>
  <c r="E22" i="55"/>
  <c r="B17" i="51"/>
  <c r="B19" i="51"/>
  <c r="H37" i="53"/>
  <c r="H16" i="53"/>
  <c r="I37" i="53"/>
  <c r="I16" i="53"/>
  <c r="E20" i="55"/>
  <c r="C10" i="55"/>
  <c r="C20" i="61"/>
  <c r="K58" i="53"/>
  <c r="B3" i="55"/>
  <c r="B6" i="51"/>
  <c r="B17" i="53"/>
  <c r="E17" i="55"/>
  <c r="F17" i="55"/>
  <c r="F20" i="55"/>
  <c r="E21" i="55"/>
  <c r="F21" i="55"/>
  <c r="B8" i="55"/>
  <c r="D9" i="54"/>
  <c r="G9" i="54"/>
  <c r="H9" i="54"/>
  <c r="C10" i="54"/>
  <c r="D10" i="54"/>
  <c r="G10" i="54"/>
  <c r="H10" i="54"/>
  <c r="D11" i="54"/>
  <c r="G11" i="54"/>
  <c r="H11" i="54"/>
  <c r="D14" i="54"/>
  <c r="G14" i="54"/>
  <c r="H14" i="54"/>
  <c r="D15" i="54"/>
  <c r="G15" i="54"/>
  <c r="H15" i="54"/>
  <c r="G16" i="54"/>
  <c r="H16" i="54"/>
  <c r="H25" i="54"/>
  <c r="C5" i="55"/>
  <c r="D13" i="55"/>
  <c r="B11" i="56"/>
  <c r="C17" i="59"/>
  <c r="C10" i="59"/>
  <c r="C15" i="61"/>
  <c r="M15" i="61"/>
  <c r="P15" i="61"/>
  <c r="K15" i="61"/>
  <c r="C11" i="49"/>
  <c r="C42" i="61"/>
  <c r="M42" i="61"/>
  <c r="P42" i="61"/>
  <c r="K42" i="61"/>
  <c r="D32" i="47"/>
  <c r="D51" i="47"/>
  <c r="E32" i="47"/>
  <c r="E51" i="47"/>
  <c r="R51" i="47"/>
  <c r="S51" i="47"/>
  <c r="S55" i="47"/>
  <c r="S56" i="47"/>
  <c r="B3" i="49"/>
  <c r="B6" i="49"/>
  <c r="G9" i="48"/>
  <c r="H9" i="48"/>
  <c r="G10" i="48"/>
  <c r="H10" i="48"/>
  <c r="G11" i="48"/>
  <c r="H11" i="48"/>
  <c r="G12" i="48"/>
  <c r="H12" i="48"/>
  <c r="G13" i="48"/>
  <c r="H13" i="48"/>
  <c r="G14" i="48"/>
  <c r="H14" i="48"/>
  <c r="G17" i="48"/>
  <c r="H17" i="48"/>
  <c r="G18" i="48"/>
  <c r="H18" i="48"/>
  <c r="G19" i="48"/>
  <c r="H19" i="48"/>
  <c r="G20" i="48"/>
  <c r="H20" i="48"/>
  <c r="G21" i="48"/>
  <c r="H21" i="48"/>
  <c r="G22" i="48"/>
  <c r="H22" i="48"/>
  <c r="G25" i="48"/>
  <c r="H25" i="48"/>
  <c r="G26" i="48"/>
  <c r="H26" i="48"/>
  <c r="G27" i="48"/>
  <c r="H27" i="48"/>
  <c r="G28" i="48"/>
  <c r="H28" i="48"/>
  <c r="G29" i="48"/>
  <c r="H29" i="48"/>
  <c r="G30" i="48"/>
  <c r="H30" i="48"/>
  <c r="H31" i="48"/>
  <c r="C5" i="49"/>
  <c r="D12" i="49"/>
  <c r="B53" i="57"/>
  <c r="C53" i="57"/>
  <c r="D53" i="57"/>
  <c r="E53" i="57"/>
  <c r="F53" i="57"/>
  <c r="G53" i="57"/>
  <c r="B54" i="57"/>
  <c r="C54" i="57"/>
  <c r="D54" i="57"/>
  <c r="E54" i="57"/>
  <c r="F54" i="57"/>
  <c r="G54" i="57"/>
  <c r="B59" i="57"/>
  <c r="C59" i="57"/>
  <c r="D59" i="57"/>
  <c r="E59" i="57"/>
  <c r="F59" i="57"/>
  <c r="G59" i="57"/>
  <c r="G61" i="57"/>
  <c r="B3" i="59"/>
  <c r="B8" i="59"/>
  <c r="G9" i="58"/>
  <c r="H9" i="58"/>
  <c r="G10" i="58"/>
  <c r="H10" i="58"/>
  <c r="H25" i="58"/>
  <c r="C5" i="59"/>
  <c r="D13" i="59"/>
  <c r="N19" i="61"/>
  <c r="Q19" i="61"/>
  <c r="K19" i="61"/>
  <c r="E23" i="61"/>
  <c r="N38" i="61"/>
  <c r="Q38" i="61"/>
  <c r="B12" i="49"/>
  <c r="B12" i="55"/>
  <c r="B12" i="59"/>
  <c r="B13" i="13"/>
  <c r="F16" i="24"/>
  <c r="F9" i="24"/>
  <c r="G9" i="24"/>
  <c r="B16" i="22"/>
  <c r="B15" i="22"/>
  <c r="B14" i="22"/>
  <c r="B12" i="22"/>
  <c r="F10" i="24"/>
  <c r="G10" i="24"/>
  <c r="G16" i="24"/>
  <c r="F21" i="24"/>
  <c r="G21" i="24"/>
  <c r="F22" i="24"/>
  <c r="G22" i="24"/>
  <c r="F23" i="24"/>
  <c r="G23" i="24"/>
  <c r="G24" i="24"/>
  <c r="H9" i="24"/>
  <c r="H10" i="24"/>
  <c r="H16" i="24"/>
  <c r="H21" i="24"/>
  <c r="H22" i="24"/>
  <c r="H23" i="24"/>
  <c r="H24" i="24"/>
  <c r="E24" i="67"/>
  <c r="D6" i="68"/>
  <c r="H6" i="68"/>
  <c r="I6" i="68"/>
  <c r="J6" i="68"/>
  <c r="K6" i="68"/>
  <c r="O36" i="61"/>
  <c r="R36" i="61"/>
  <c r="O30" i="61"/>
  <c r="O23" i="61"/>
  <c r="C11" i="61"/>
  <c r="F11" i="61"/>
  <c r="B40" i="63"/>
  <c r="B57" i="63"/>
  <c r="C40" i="63"/>
  <c r="C57" i="63"/>
  <c r="D40" i="63"/>
  <c r="D57" i="63"/>
  <c r="E40" i="63"/>
  <c r="E57" i="63"/>
  <c r="F40" i="63"/>
  <c r="F57" i="63"/>
  <c r="G40" i="63"/>
  <c r="G57" i="63"/>
  <c r="H40" i="63"/>
  <c r="H57" i="63"/>
  <c r="I40" i="63"/>
  <c r="I57" i="63"/>
  <c r="J57" i="63"/>
  <c r="K57" i="63"/>
  <c r="B41" i="63"/>
  <c r="B58" i="63"/>
  <c r="C41" i="63"/>
  <c r="C58" i="63"/>
  <c r="D41" i="63"/>
  <c r="D58" i="63"/>
  <c r="E41" i="63"/>
  <c r="E58" i="63"/>
  <c r="F41" i="63"/>
  <c r="F58" i="63"/>
  <c r="G41" i="63"/>
  <c r="G58" i="63"/>
  <c r="H41" i="63"/>
  <c r="H58" i="63"/>
  <c r="I41" i="63"/>
  <c r="I58" i="63"/>
  <c r="J58" i="63"/>
  <c r="K58" i="63"/>
  <c r="B36" i="63"/>
  <c r="B48" i="63"/>
  <c r="B65" i="63"/>
  <c r="C36" i="63"/>
  <c r="C48" i="63"/>
  <c r="C65" i="63"/>
  <c r="D36" i="63"/>
  <c r="D48" i="63"/>
  <c r="D65" i="63"/>
  <c r="E36" i="63"/>
  <c r="E48" i="63"/>
  <c r="E65" i="63"/>
  <c r="F36" i="63"/>
  <c r="F48" i="63"/>
  <c r="F65" i="63"/>
  <c r="G36" i="63"/>
  <c r="G48" i="63"/>
  <c r="G65" i="63"/>
  <c r="H36" i="63"/>
  <c r="H48" i="63"/>
  <c r="H65" i="63"/>
  <c r="I36" i="63"/>
  <c r="I48" i="63"/>
  <c r="I65" i="63"/>
  <c r="J65" i="63"/>
  <c r="K65" i="63"/>
  <c r="K67" i="63"/>
  <c r="B3" i="65"/>
  <c r="C3" i="61"/>
  <c r="F3" i="61"/>
  <c r="M11" i="61"/>
  <c r="N13" i="61"/>
  <c r="C34" i="61"/>
  <c r="F34" i="61"/>
  <c r="M34" i="61"/>
  <c r="P34" i="61"/>
  <c r="M3" i="61"/>
  <c r="F20" i="67"/>
  <c r="F19" i="67"/>
  <c r="Q19" i="67"/>
  <c r="F18" i="67"/>
  <c r="F17" i="67"/>
  <c r="Q17" i="67"/>
  <c r="F16" i="67"/>
  <c r="Q16" i="67"/>
  <c r="F15" i="67"/>
  <c r="Q15" i="67"/>
  <c r="F14" i="67"/>
  <c r="Q14" i="67"/>
  <c r="F12" i="67"/>
  <c r="F11" i="67"/>
  <c r="F10" i="67"/>
  <c r="F9" i="67"/>
  <c r="F8" i="67"/>
  <c r="F22" i="67"/>
  <c r="B7" i="67"/>
  <c r="C5" i="28"/>
  <c r="C6" i="29"/>
  <c r="F23" i="55"/>
  <c r="F22" i="55"/>
  <c r="F19" i="55"/>
  <c r="F18" i="55"/>
  <c r="B2" i="26"/>
  <c r="J11" i="34"/>
  <c r="J10" i="34"/>
  <c r="D48" i="31"/>
  <c r="B48" i="31"/>
  <c r="C48" i="31"/>
  <c r="H16" i="63"/>
  <c r="E16" i="63"/>
  <c r="E17" i="63"/>
  <c r="G8" i="31"/>
  <c r="I48" i="31"/>
  <c r="R16" i="61"/>
  <c r="E48" i="31"/>
  <c r="D19" i="65"/>
  <c r="B18" i="64"/>
  <c r="G9" i="64"/>
  <c r="G25" i="63"/>
  <c r="G7" i="63"/>
  <c r="G3" i="63"/>
  <c r="G6" i="63"/>
  <c r="F25" i="63"/>
  <c r="F7" i="63"/>
  <c r="D25" i="63"/>
  <c r="C25" i="63"/>
  <c r="I25" i="63"/>
  <c r="I6" i="63"/>
  <c r="I20" i="63"/>
  <c r="I7" i="63"/>
  <c r="E6" i="63"/>
  <c r="E7" i="63"/>
  <c r="E3" i="63"/>
  <c r="H7" i="63"/>
  <c r="I3" i="63"/>
  <c r="H3" i="63"/>
  <c r="D7" i="63"/>
  <c r="C7" i="63"/>
  <c r="B7" i="63"/>
  <c r="D3" i="63"/>
  <c r="C3" i="63"/>
  <c r="B3" i="63"/>
  <c r="B7" i="62"/>
  <c r="B5" i="62"/>
  <c r="G14" i="63"/>
  <c r="G20" i="63"/>
  <c r="E14" i="63"/>
  <c r="E20" i="63"/>
  <c r="G22" i="63"/>
  <c r="G23" i="63"/>
  <c r="G16" i="63"/>
  <c r="G17" i="63"/>
  <c r="C6" i="63"/>
  <c r="H6" i="63"/>
  <c r="D6" i="63"/>
  <c r="B25" i="63"/>
  <c r="I14" i="63"/>
  <c r="B6" i="63"/>
  <c r="H25" i="63"/>
  <c r="E25" i="63"/>
  <c r="F6" i="63"/>
  <c r="C11" i="65"/>
  <c r="G10" i="64"/>
  <c r="D14" i="63"/>
  <c r="D20" i="63"/>
  <c r="C14" i="63"/>
  <c r="C20" i="63"/>
  <c r="B14" i="63"/>
  <c r="B20" i="63"/>
  <c r="H14" i="63"/>
  <c r="H20" i="63"/>
  <c r="D22" i="63"/>
  <c r="D23" i="63"/>
  <c r="H22" i="63"/>
  <c r="H23" i="63"/>
  <c r="H17" i="63"/>
  <c r="D16" i="63"/>
  <c r="D17" i="63"/>
  <c r="E22" i="63"/>
  <c r="E23" i="63"/>
  <c r="F16" i="63"/>
  <c r="F17" i="63"/>
  <c r="F22" i="63"/>
  <c r="F23" i="63"/>
  <c r="I16" i="63"/>
  <c r="I17" i="63"/>
  <c r="I22" i="63"/>
  <c r="I23" i="63"/>
  <c r="B16" i="63"/>
  <c r="B17" i="63"/>
  <c r="B22" i="63"/>
  <c r="B23" i="63"/>
  <c r="C22" i="63"/>
  <c r="C23" i="63"/>
  <c r="C16" i="63"/>
  <c r="C17" i="63"/>
  <c r="F14" i="63"/>
  <c r="F20" i="63"/>
  <c r="C13" i="65"/>
  <c r="B10" i="65"/>
  <c r="E8" i="61"/>
  <c r="D9" i="65"/>
  <c r="G18" i="64"/>
  <c r="H18" i="64"/>
  <c r="I10" i="64"/>
  <c r="H10" i="64"/>
  <c r="I9" i="64"/>
  <c r="H9" i="64"/>
  <c r="O8" i="61"/>
  <c r="H8" i="61"/>
  <c r="G5" i="61"/>
  <c r="N5" i="61"/>
  <c r="Q5" i="61"/>
  <c r="R8" i="61"/>
  <c r="G19" i="64"/>
  <c r="H19" i="64"/>
  <c r="N7" i="61"/>
  <c r="Q7" i="61"/>
  <c r="G7" i="61"/>
  <c r="N6" i="61"/>
  <c r="Q6" i="61"/>
  <c r="G6" i="61"/>
  <c r="G14" i="64"/>
  <c r="I14" i="64"/>
  <c r="H14" i="64"/>
  <c r="G28" i="60"/>
  <c r="G21" i="60"/>
  <c r="G20" i="60"/>
  <c r="G8" i="60"/>
  <c r="R30" i="61"/>
  <c r="Q20" i="61"/>
  <c r="R23" i="61"/>
  <c r="H30" i="61"/>
  <c r="H23" i="61"/>
  <c r="B10" i="56"/>
  <c r="B9" i="56"/>
  <c r="D25" i="57"/>
  <c r="C25" i="57"/>
  <c r="E20" i="57"/>
  <c r="D20" i="57"/>
  <c r="C20" i="57"/>
  <c r="B20" i="57"/>
  <c r="E14" i="57"/>
  <c r="D14" i="57"/>
  <c r="C14" i="57"/>
  <c r="B14" i="57"/>
  <c r="E7" i="57"/>
  <c r="E9" i="57"/>
  <c r="D7" i="57"/>
  <c r="D9" i="57"/>
  <c r="C7" i="57"/>
  <c r="C9" i="57"/>
  <c r="B7" i="57"/>
  <c r="B9" i="57"/>
  <c r="E4" i="57"/>
  <c r="D4" i="57"/>
  <c r="C4" i="57"/>
  <c r="B4" i="57"/>
  <c r="N14" i="61"/>
  <c r="Q14" i="61"/>
  <c r="G14" i="61"/>
  <c r="E16" i="61"/>
  <c r="O16" i="61"/>
  <c r="B25" i="57"/>
  <c r="E25" i="57"/>
  <c r="F88" i="60"/>
  <c r="H16" i="61"/>
  <c r="E17" i="57"/>
  <c r="B17" i="57"/>
  <c r="D17" i="57"/>
  <c r="C17" i="57"/>
  <c r="E22" i="57"/>
  <c r="E23" i="57"/>
  <c r="D22" i="57"/>
  <c r="D23" i="57"/>
  <c r="B22" i="57"/>
  <c r="B23" i="57"/>
  <c r="C22" i="57"/>
  <c r="C23" i="57"/>
  <c r="F89" i="60"/>
  <c r="G89" i="60"/>
  <c r="B11" i="51"/>
  <c r="C12" i="61"/>
  <c r="F82" i="60"/>
  <c r="F87" i="60"/>
  <c r="F86" i="60"/>
  <c r="F12" i="61"/>
  <c r="M12" i="61"/>
  <c r="P12" i="61"/>
  <c r="F81" i="60"/>
  <c r="F61" i="57"/>
  <c r="G83" i="60"/>
  <c r="F83" i="60"/>
  <c r="G84" i="60"/>
  <c r="F84" i="60"/>
  <c r="F85" i="60"/>
  <c r="G90" i="60"/>
  <c r="H90" i="60"/>
  <c r="P11" i="61"/>
  <c r="B4" i="59"/>
  <c r="G13" i="61"/>
  <c r="Q13" i="61"/>
  <c r="D14" i="59"/>
  <c r="H25" i="53"/>
  <c r="H4" i="53"/>
  <c r="I25" i="53"/>
  <c r="I4" i="53"/>
  <c r="B20" i="53"/>
  <c r="G7" i="53"/>
  <c r="G9" i="53"/>
  <c r="G4" i="53"/>
  <c r="G14" i="53"/>
  <c r="G25" i="53"/>
  <c r="G17" i="53"/>
  <c r="G22" i="53"/>
  <c r="G23" i="53"/>
  <c r="C14" i="53"/>
  <c r="D14" i="53"/>
  <c r="E14" i="53"/>
  <c r="F14" i="53"/>
  <c r="B14" i="53"/>
  <c r="F7" i="53"/>
  <c r="F9" i="53"/>
  <c r="E7" i="53"/>
  <c r="E9" i="53"/>
  <c r="D7" i="53"/>
  <c r="D9" i="53"/>
  <c r="C7" i="53"/>
  <c r="C9" i="53"/>
  <c r="B7" i="53"/>
  <c r="B9" i="53"/>
  <c r="F4" i="53"/>
  <c r="E4" i="53"/>
  <c r="D4" i="53"/>
  <c r="B4" i="53"/>
  <c r="F22" i="53"/>
  <c r="F23" i="53"/>
  <c r="B25" i="53"/>
  <c r="F17" i="53"/>
  <c r="E25" i="53"/>
  <c r="C25" i="53"/>
  <c r="C17" i="53"/>
  <c r="D25" i="53"/>
  <c r="D17" i="53"/>
  <c r="F25" i="53"/>
  <c r="E22" i="53"/>
  <c r="E23" i="53"/>
  <c r="B22" i="53"/>
  <c r="B23" i="53"/>
  <c r="C22" i="53"/>
  <c r="C23" i="53"/>
  <c r="D22" i="53"/>
  <c r="D23" i="53"/>
  <c r="E17" i="53"/>
  <c r="I27" i="48"/>
  <c r="I26" i="48"/>
  <c r="I25" i="48"/>
  <c r="I19" i="48"/>
  <c r="I18" i="48"/>
  <c r="I17" i="48"/>
  <c r="P14" i="50"/>
  <c r="R14" i="50"/>
  <c r="P12" i="50"/>
  <c r="Q12" i="50"/>
  <c r="R12" i="50"/>
  <c r="P10" i="50"/>
  <c r="Q10" i="50"/>
  <c r="R10" i="50"/>
  <c r="P8" i="50"/>
  <c r="R8" i="50"/>
  <c r="P6" i="50"/>
  <c r="Q6" i="50"/>
  <c r="R6" i="50"/>
  <c r="P4" i="50"/>
  <c r="Q4" i="50"/>
  <c r="R4" i="50"/>
  <c r="M50" i="47"/>
  <c r="L50" i="47"/>
  <c r="K50" i="47"/>
  <c r="J50" i="47"/>
  <c r="M49" i="47"/>
  <c r="L49" i="47"/>
  <c r="K49" i="47"/>
  <c r="J49" i="47"/>
  <c r="M43" i="47"/>
  <c r="L43" i="47"/>
  <c r="K43" i="47"/>
  <c r="J43" i="47"/>
  <c r="M42" i="47"/>
  <c r="L42" i="47"/>
  <c r="K42" i="47"/>
  <c r="J42" i="47"/>
  <c r="I50" i="47"/>
  <c r="I49" i="47"/>
  <c r="I43" i="47"/>
  <c r="I42" i="47"/>
  <c r="N3" i="47"/>
  <c r="N13" i="47"/>
  <c r="M3" i="47"/>
  <c r="M13" i="47"/>
  <c r="L3" i="47"/>
  <c r="L13" i="47"/>
  <c r="K3" i="47"/>
  <c r="K13" i="47"/>
  <c r="J3" i="47"/>
  <c r="J13" i="47"/>
  <c r="I3" i="47"/>
  <c r="I13" i="47"/>
  <c r="L18" i="47"/>
  <c r="L12" i="47"/>
  <c r="I18" i="47"/>
  <c r="I12" i="47"/>
  <c r="M18" i="47"/>
  <c r="M12" i="47"/>
  <c r="J18" i="47"/>
  <c r="J12" i="47"/>
  <c r="N12" i="47"/>
  <c r="K18" i="47"/>
  <c r="K12" i="47"/>
  <c r="N18" i="47"/>
  <c r="N6" i="47"/>
  <c r="N7" i="47"/>
  <c r="N14" i="47"/>
  <c r="M6" i="47"/>
  <c r="M7" i="47"/>
  <c r="L6" i="47"/>
  <c r="L7" i="47"/>
  <c r="K6" i="47"/>
  <c r="K7" i="47"/>
  <c r="J6" i="47"/>
  <c r="J7" i="47"/>
  <c r="I6" i="47"/>
  <c r="I7" i="47"/>
  <c r="I14" i="47"/>
  <c r="I19" i="47"/>
  <c r="J14" i="47"/>
  <c r="M14" i="47"/>
  <c r="J19" i="47"/>
  <c r="K19" i="47"/>
  <c r="N19" i="47"/>
  <c r="M19" i="47"/>
  <c r="K14" i="47"/>
  <c r="L19" i="47"/>
  <c r="L14" i="47"/>
  <c r="E15" i="50"/>
  <c r="E16" i="50"/>
  <c r="O15" i="50"/>
  <c r="O16" i="50"/>
  <c r="J15" i="50"/>
  <c r="J16" i="50"/>
  <c r="K15" i="50"/>
  <c r="K16" i="50"/>
  <c r="M15" i="50"/>
  <c r="M16" i="50"/>
  <c r="L15" i="50"/>
  <c r="L16" i="50"/>
  <c r="D15" i="50"/>
  <c r="D16" i="50"/>
  <c r="H15" i="50"/>
  <c r="H16" i="50"/>
  <c r="N15" i="50"/>
  <c r="N16" i="50"/>
  <c r="F15" i="50"/>
  <c r="F16" i="50"/>
  <c r="I15" i="50"/>
  <c r="I16" i="50"/>
  <c r="G15" i="50"/>
  <c r="G16" i="50"/>
  <c r="F3" i="47"/>
  <c r="F13" i="47"/>
  <c r="D3" i="47"/>
  <c r="D13" i="47"/>
  <c r="E3" i="47"/>
  <c r="E13" i="47"/>
  <c r="Q3" i="47"/>
  <c r="Q13" i="47"/>
  <c r="P3" i="47"/>
  <c r="P13" i="47"/>
  <c r="O3" i="47"/>
  <c r="O13" i="47"/>
  <c r="H3" i="47"/>
  <c r="H13" i="47"/>
  <c r="G3" i="47"/>
  <c r="G13" i="47"/>
  <c r="C3" i="47"/>
  <c r="C13" i="47"/>
  <c r="B3" i="47"/>
  <c r="B13" i="47"/>
  <c r="E174" i="15"/>
  <c r="E175" i="15"/>
  <c r="D175" i="15"/>
  <c r="E98" i="16"/>
  <c r="D98" i="16"/>
  <c r="C12" i="16"/>
  <c r="B12" i="16"/>
  <c r="C11" i="16"/>
  <c r="B11" i="16"/>
  <c r="A11" i="16"/>
  <c r="C10" i="16"/>
  <c r="B10" i="16"/>
  <c r="C9" i="16"/>
  <c r="B9" i="16"/>
  <c r="C8" i="16"/>
  <c r="B8" i="16"/>
  <c r="C7" i="16"/>
  <c r="B7" i="16"/>
  <c r="C6" i="16"/>
  <c r="B6" i="16"/>
  <c r="C5" i="16"/>
  <c r="B5" i="16"/>
  <c r="C24" i="16"/>
  <c r="B24" i="16"/>
  <c r="C23" i="16"/>
  <c r="B23" i="16"/>
  <c r="A23" i="16"/>
  <c r="C22" i="16"/>
  <c r="B22" i="16"/>
  <c r="C21" i="16"/>
  <c r="B21" i="16"/>
  <c r="C20" i="16"/>
  <c r="B20" i="16"/>
  <c r="C19" i="16"/>
  <c r="B19" i="16"/>
  <c r="A21" i="16"/>
  <c r="A19" i="16"/>
  <c r="C18" i="16"/>
  <c r="B18" i="16"/>
  <c r="C17" i="16"/>
  <c r="B17" i="16"/>
  <c r="A17" i="16"/>
  <c r="C16" i="16"/>
  <c r="B16" i="16"/>
  <c r="C15" i="16"/>
  <c r="B15" i="16"/>
  <c r="C14" i="16"/>
  <c r="B14" i="16"/>
  <c r="C13" i="16"/>
  <c r="B13" i="16"/>
  <c r="A13" i="16"/>
  <c r="A15" i="16"/>
  <c r="A9" i="16"/>
  <c r="A7" i="16"/>
  <c r="A6" i="16"/>
  <c r="A5" i="16"/>
  <c r="AG4" i="12"/>
  <c r="H4" i="12"/>
  <c r="AD4" i="12"/>
  <c r="E4" i="12"/>
  <c r="AA4" i="12"/>
  <c r="B4" i="12"/>
  <c r="K4" i="12"/>
  <c r="AV4" i="12"/>
  <c r="W4" i="12"/>
  <c r="AJ4" i="12"/>
  <c r="AS4" i="12"/>
  <c r="T4" i="12"/>
  <c r="AP4" i="12"/>
  <c r="Q4" i="12"/>
  <c r="AM4" i="12"/>
  <c r="N4" i="12"/>
  <c r="AM5" i="12"/>
  <c r="T5" i="12"/>
  <c r="E5" i="12"/>
  <c r="AC5" i="12"/>
  <c r="AA5" i="12"/>
  <c r="AF5" i="12"/>
  <c r="Q5" i="12"/>
  <c r="AR5" i="12"/>
  <c r="O5" i="12"/>
  <c r="AO5" i="12"/>
  <c r="H5" i="12"/>
  <c r="I12" i="48"/>
  <c r="I9" i="48"/>
  <c r="C43" i="47"/>
  <c r="I11" i="48"/>
  <c r="I14" i="12"/>
  <c r="B49" i="47"/>
  <c r="B50" i="47"/>
  <c r="B42" i="47"/>
  <c r="B43" i="47"/>
  <c r="I10" i="48"/>
  <c r="B24" i="13"/>
  <c r="C49" i="47"/>
  <c r="C50" i="47"/>
  <c r="C42" i="47"/>
  <c r="I13" i="48"/>
  <c r="H30" i="47"/>
  <c r="H31" i="47"/>
  <c r="J8" i="12"/>
  <c r="P31" i="47"/>
  <c r="P30" i="47"/>
  <c r="Q43" i="47"/>
  <c r="Q42" i="47"/>
  <c r="Q50" i="47"/>
  <c r="Q49" i="47"/>
  <c r="AP7" i="12"/>
  <c r="R7" i="12"/>
  <c r="Q6" i="12"/>
  <c r="AC6" i="12"/>
  <c r="AO7" i="12"/>
  <c r="Q7" i="12"/>
  <c r="E6" i="12"/>
  <c r="AF7" i="12"/>
  <c r="H7" i="12"/>
  <c r="AE7" i="12"/>
  <c r="G7" i="12"/>
  <c r="AD7" i="12"/>
  <c r="F7" i="12"/>
  <c r="AQ7" i="12"/>
  <c r="AC7" i="12"/>
  <c r="E7" i="12"/>
  <c r="S7" i="12"/>
  <c r="AR7" i="12"/>
  <c r="T7" i="12"/>
  <c r="AO6" i="12"/>
  <c r="I28" i="48"/>
  <c r="I29" i="48"/>
  <c r="E43" i="47"/>
  <c r="E49" i="47"/>
  <c r="E42" i="47"/>
  <c r="E50" i="47"/>
  <c r="D43" i="47"/>
  <c r="D42" i="47"/>
  <c r="D49" i="47"/>
  <c r="D50" i="47"/>
  <c r="G29" i="60"/>
  <c r="F29" i="60"/>
  <c r="I30" i="48"/>
  <c r="P49" i="47"/>
  <c r="O43" i="47"/>
  <c r="P43" i="47"/>
  <c r="N42" i="47"/>
  <c r="N49" i="47"/>
  <c r="N43" i="47"/>
  <c r="N50" i="47"/>
  <c r="P50" i="47"/>
  <c r="D19" i="33"/>
  <c r="J13" i="31"/>
  <c r="I13" i="31"/>
  <c r="H13" i="31"/>
  <c r="G13" i="31"/>
  <c r="F13" i="31"/>
  <c r="E13" i="31"/>
  <c r="D13" i="31"/>
  <c r="C13" i="31"/>
  <c r="C3" i="32"/>
  <c r="C13" i="32"/>
  <c r="C12" i="32"/>
  <c r="C11" i="32"/>
  <c r="C10" i="32"/>
  <c r="C9" i="32"/>
  <c r="C8" i="32"/>
  <c r="C7" i="32"/>
  <c r="C6" i="32"/>
  <c r="C5" i="32"/>
  <c r="C4" i="32"/>
  <c r="C2" i="32"/>
  <c r="H19" i="33"/>
  <c r="I19" i="33"/>
  <c r="G19" i="33"/>
  <c r="F19" i="33"/>
  <c r="E19" i="33"/>
  <c r="C19" i="33"/>
  <c r="B19" i="33"/>
  <c r="G23" i="31"/>
  <c r="H23" i="31"/>
  <c r="I23" i="31"/>
  <c r="F23" i="31"/>
  <c r="J23" i="31"/>
  <c r="C23" i="31"/>
  <c r="D23" i="31"/>
  <c r="E23" i="31"/>
  <c r="C28" i="31"/>
  <c r="F28" i="31"/>
  <c r="G28" i="31"/>
  <c r="H28" i="31"/>
  <c r="I28" i="31"/>
  <c r="J28" i="31"/>
  <c r="D28" i="31"/>
  <c r="E28" i="31"/>
  <c r="J9" i="31"/>
  <c r="J10" i="31"/>
  <c r="E9" i="31"/>
  <c r="E10" i="31"/>
  <c r="C9" i="31"/>
  <c r="C10" i="31"/>
  <c r="F9" i="31"/>
  <c r="F10" i="31"/>
  <c r="G9" i="31"/>
  <c r="G10" i="31"/>
  <c r="H9" i="31"/>
  <c r="H10" i="31"/>
  <c r="I9" i="31"/>
  <c r="I10" i="31"/>
  <c r="D9" i="31"/>
  <c r="D10" i="31"/>
  <c r="I17" i="31"/>
  <c r="I27" i="31"/>
  <c r="I22" i="31"/>
  <c r="J25" i="31"/>
  <c r="G22" i="31"/>
  <c r="D22" i="31"/>
  <c r="H22" i="31"/>
  <c r="C25" i="31"/>
  <c r="E22" i="31"/>
  <c r="F22" i="31"/>
  <c r="J27" i="31"/>
  <c r="C22" i="31"/>
  <c r="J22" i="31"/>
  <c r="H27" i="31"/>
  <c r="H25" i="31"/>
  <c r="G27" i="31"/>
  <c r="F17" i="31"/>
  <c r="F25" i="31"/>
  <c r="C27" i="31"/>
  <c r="E17" i="31"/>
  <c r="E27" i="31"/>
  <c r="C17" i="31"/>
  <c r="E25" i="31"/>
  <c r="J17" i="31"/>
  <c r="D17" i="31"/>
  <c r="F27" i="31"/>
  <c r="G17" i="31"/>
  <c r="D27" i="31"/>
  <c r="H17" i="31"/>
  <c r="D25" i="31"/>
  <c r="G25" i="31"/>
  <c r="I25" i="31"/>
  <c r="B18" i="29"/>
  <c r="F2" i="26"/>
  <c r="E2" i="26"/>
  <c r="D2" i="26"/>
  <c r="C2" i="26"/>
  <c r="F12" i="26"/>
  <c r="F23" i="26"/>
  <c r="E12" i="26"/>
  <c r="E23" i="26"/>
  <c r="D12" i="26"/>
  <c r="D19" i="26"/>
  <c r="C12" i="26"/>
  <c r="C23" i="26"/>
  <c r="B12" i="26"/>
  <c r="B19" i="26"/>
  <c r="B23" i="26"/>
  <c r="B21" i="26"/>
  <c r="D21" i="26"/>
  <c r="E19" i="26"/>
  <c r="E21" i="26"/>
  <c r="F21" i="26"/>
  <c r="C19" i="26"/>
  <c r="C21" i="26"/>
  <c r="D23" i="26"/>
  <c r="F19" i="26"/>
  <c r="B13" i="22"/>
  <c r="G82" i="16"/>
  <c r="S3" i="14"/>
  <c r="S5" i="14"/>
  <c r="S7" i="14"/>
  <c r="S9" i="14"/>
  <c r="S11" i="14"/>
  <c r="S13" i="14"/>
  <c r="S15" i="14"/>
  <c r="S17" i="14"/>
  <c r="S19" i="14"/>
  <c r="S21" i="14"/>
  <c r="S23" i="14"/>
  <c r="S25" i="14"/>
  <c r="S27" i="14"/>
  <c r="S29" i="14"/>
  <c r="S31" i="14"/>
  <c r="S33" i="14"/>
  <c r="H3" i="14"/>
  <c r="H5" i="14"/>
  <c r="H7" i="14"/>
  <c r="H9" i="14"/>
  <c r="H11" i="14"/>
  <c r="H13" i="14"/>
  <c r="H15" i="14"/>
  <c r="H17" i="14"/>
  <c r="H19" i="14"/>
  <c r="H21" i="14"/>
  <c r="H23" i="14"/>
  <c r="H25" i="14"/>
  <c r="H27" i="14"/>
  <c r="H29" i="14"/>
  <c r="H31" i="14"/>
  <c r="H33" i="14"/>
  <c r="H90" i="16"/>
  <c r="L88" i="16"/>
  <c r="B49" i="16"/>
  <c r="B48" i="16"/>
  <c r="B47" i="16"/>
  <c r="B46" i="16"/>
  <c r="E83" i="16"/>
  <c r="E82" i="16"/>
  <c r="C84" i="16"/>
  <c r="D84" i="16"/>
  <c r="E84" i="16"/>
  <c r="E40" i="14"/>
  <c r="P40" i="14"/>
  <c r="E46" i="14"/>
  <c r="P46" i="14"/>
  <c r="P47" i="14"/>
  <c r="E48" i="14"/>
  <c r="P48" i="14"/>
  <c r="E52" i="14"/>
  <c r="P52" i="14"/>
  <c r="A88" i="16"/>
  <c r="A87" i="16"/>
  <c r="A86" i="16"/>
  <c r="A85" i="16"/>
  <c r="A84" i="16"/>
  <c r="A83" i="16"/>
  <c r="A82" i="16"/>
  <c r="D51" i="16"/>
  <c r="K51" i="16"/>
  <c r="L51" i="16"/>
  <c r="M51" i="16"/>
  <c r="N51" i="16"/>
  <c r="O51" i="16"/>
  <c r="O50" i="16"/>
  <c r="N50" i="16"/>
  <c r="M50" i="16"/>
  <c r="L50" i="16"/>
  <c r="K50" i="16"/>
  <c r="D50" i="16"/>
  <c r="O49" i="16"/>
  <c r="N49" i="16"/>
  <c r="M49" i="16"/>
  <c r="L49" i="16"/>
  <c r="K49" i="16"/>
  <c r="D49" i="16"/>
  <c r="O48" i="16"/>
  <c r="N48" i="16"/>
  <c r="M48" i="16"/>
  <c r="L48" i="16"/>
  <c r="K48" i="16"/>
  <c r="D48" i="16"/>
  <c r="O47" i="16"/>
  <c r="N47" i="16"/>
  <c r="M47" i="16"/>
  <c r="L47" i="16"/>
  <c r="K47" i="16"/>
  <c r="D47" i="16"/>
  <c r="O46" i="16"/>
  <c r="N46" i="16"/>
  <c r="M46" i="16"/>
  <c r="L46" i="16"/>
  <c r="K46" i="16"/>
  <c r="D46" i="16"/>
  <c r="F42" i="16"/>
  <c r="G42" i="16"/>
  <c r="H42" i="16"/>
  <c r="I42" i="16"/>
  <c r="J42" i="16"/>
  <c r="K42" i="16"/>
  <c r="L42" i="16"/>
  <c r="M42" i="16"/>
  <c r="F43" i="16"/>
  <c r="G43" i="16"/>
  <c r="H43" i="16"/>
  <c r="I43" i="16"/>
  <c r="J43" i="16"/>
  <c r="K43" i="16"/>
  <c r="L43" i="16"/>
  <c r="M43" i="16"/>
  <c r="F44" i="16"/>
  <c r="G44" i="16"/>
  <c r="H44" i="16"/>
  <c r="I44" i="16"/>
  <c r="J44" i="16"/>
  <c r="K44" i="16"/>
  <c r="L44" i="16"/>
  <c r="M44" i="16"/>
  <c r="F41" i="16"/>
  <c r="G41" i="16"/>
  <c r="H41" i="16"/>
  <c r="I41" i="16"/>
  <c r="J41" i="16"/>
  <c r="K41" i="16"/>
  <c r="L41" i="16"/>
  <c r="M41" i="16"/>
  <c r="B51" i="16"/>
  <c r="B44" i="16"/>
  <c r="K85" i="16"/>
  <c r="J85" i="16"/>
  <c r="L85" i="16"/>
  <c r="M85" i="16"/>
  <c r="G84" i="16"/>
  <c r="B39" i="16"/>
  <c r="B32" i="16"/>
  <c r="H70" i="16"/>
  <c r="H71" i="16"/>
  <c r="H72" i="16"/>
  <c r="H69" i="16"/>
  <c r="G68" i="16"/>
  <c r="G69" i="16"/>
  <c r="F68" i="16"/>
  <c r="F69" i="16"/>
  <c r="E68" i="16"/>
  <c r="E69" i="16"/>
  <c r="D68" i="16"/>
  <c r="D69" i="16"/>
  <c r="C68" i="16"/>
  <c r="C69" i="16"/>
  <c r="B68" i="16"/>
  <c r="B69" i="16"/>
  <c r="P123" i="15"/>
  <c r="Q123" i="15"/>
  <c r="R123" i="15"/>
  <c r="Q122" i="15"/>
  <c r="R122" i="15"/>
  <c r="H122" i="15"/>
  <c r="D122" i="15"/>
  <c r="H121" i="15"/>
  <c r="D121" i="15"/>
  <c r="P120" i="15"/>
  <c r="Q120" i="15"/>
  <c r="R120" i="15"/>
  <c r="H120" i="15"/>
  <c r="D120" i="15"/>
  <c r="Q119" i="15"/>
  <c r="R119" i="15"/>
  <c r="T119" i="15"/>
  <c r="H119" i="15"/>
  <c r="D119" i="15"/>
  <c r="N117" i="15"/>
  <c r="O117" i="15"/>
  <c r="I117" i="15"/>
  <c r="J117" i="15"/>
  <c r="K117" i="15"/>
  <c r="L117" i="15"/>
  <c r="M117" i="15"/>
  <c r="E117" i="15"/>
  <c r="F117" i="15"/>
  <c r="G117" i="15"/>
  <c r="N116" i="15"/>
  <c r="O116" i="15"/>
  <c r="I116" i="15"/>
  <c r="J116" i="15"/>
  <c r="K116" i="15"/>
  <c r="L116" i="15"/>
  <c r="M116" i="15"/>
  <c r="E116" i="15"/>
  <c r="F116" i="15"/>
  <c r="G116" i="15"/>
  <c r="N115" i="15"/>
  <c r="O115" i="15"/>
  <c r="I115" i="15"/>
  <c r="J115" i="15"/>
  <c r="K115" i="15"/>
  <c r="L115" i="15"/>
  <c r="M115" i="15"/>
  <c r="E115" i="15"/>
  <c r="F115" i="15"/>
  <c r="G115" i="15"/>
  <c r="N114" i="15"/>
  <c r="O114" i="15"/>
  <c r="I114" i="15"/>
  <c r="J114" i="15"/>
  <c r="K114" i="15"/>
  <c r="L114" i="15"/>
  <c r="M114" i="15"/>
  <c r="E114" i="15"/>
  <c r="F114" i="15"/>
  <c r="G114" i="15"/>
  <c r="N110" i="15"/>
  <c r="I108" i="15"/>
  <c r="J108" i="15"/>
  <c r="K108" i="15"/>
  <c r="L108" i="15"/>
  <c r="M108" i="15"/>
  <c r="E108" i="15"/>
  <c r="F108" i="15"/>
  <c r="G108" i="15"/>
  <c r="N108" i="15"/>
  <c r="O108" i="15"/>
  <c r="I107" i="15"/>
  <c r="J107" i="15"/>
  <c r="K107" i="15"/>
  <c r="L107" i="15"/>
  <c r="M107" i="15"/>
  <c r="E107" i="15"/>
  <c r="F107" i="15"/>
  <c r="G107" i="15"/>
  <c r="N107" i="15"/>
  <c r="O107" i="15"/>
  <c r="I106" i="15"/>
  <c r="J106" i="15"/>
  <c r="K106" i="15"/>
  <c r="L106" i="15"/>
  <c r="M106" i="15"/>
  <c r="E106" i="15"/>
  <c r="F106" i="15"/>
  <c r="G106" i="15"/>
  <c r="N106" i="15"/>
  <c r="O106" i="15"/>
  <c r="I105" i="15"/>
  <c r="J105" i="15"/>
  <c r="K105" i="15"/>
  <c r="L105" i="15"/>
  <c r="M105" i="15"/>
  <c r="E105" i="15"/>
  <c r="F105" i="15"/>
  <c r="G105" i="15"/>
  <c r="N105" i="15"/>
  <c r="O105" i="15"/>
  <c r="N101" i="15"/>
  <c r="M93" i="15"/>
  <c r="L93" i="15"/>
  <c r="K93" i="15"/>
  <c r="J93" i="15"/>
  <c r="I93" i="15"/>
  <c r="H93" i="15"/>
  <c r="G93" i="15"/>
  <c r="F93" i="15"/>
  <c r="E93" i="15"/>
  <c r="D93" i="15"/>
  <c r="M92" i="15"/>
  <c r="L92" i="15"/>
  <c r="K92" i="15"/>
  <c r="J92" i="15"/>
  <c r="I92" i="15"/>
  <c r="H92" i="15"/>
  <c r="G92" i="15"/>
  <c r="F92" i="15"/>
  <c r="E92" i="15"/>
  <c r="D92" i="15"/>
  <c r="O89" i="15"/>
  <c r="N89" i="15"/>
  <c r="M89" i="15"/>
  <c r="L89" i="15"/>
  <c r="K89" i="15"/>
  <c r="J89" i="15"/>
  <c r="O88" i="15"/>
  <c r="N88" i="15"/>
  <c r="M88" i="15"/>
  <c r="L88" i="15"/>
  <c r="K88" i="15"/>
  <c r="J88" i="15"/>
  <c r="M87" i="15"/>
  <c r="L87" i="15"/>
  <c r="K87" i="15"/>
  <c r="J87" i="15"/>
  <c r="I87" i="15"/>
  <c r="H87" i="15"/>
  <c r="G87" i="15"/>
  <c r="F87" i="15"/>
  <c r="E87" i="15"/>
  <c r="D87" i="15"/>
  <c r="M86" i="15"/>
  <c r="L86" i="15"/>
  <c r="K86" i="15"/>
  <c r="J86" i="15"/>
  <c r="I86" i="15"/>
  <c r="H86" i="15"/>
  <c r="G86" i="15"/>
  <c r="F86" i="15"/>
  <c r="E86" i="15"/>
  <c r="D86" i="15"/>
  <c r="O83" i="15"/>
  <c r="N83" i="15"/>
  <c r="M83" i="15"/>
  <c r="L83" i="15"/>
  <c r="K83" i="15"/>
  <c r="J83" i="15"/>
  <c r="O82" i="15"/>
  <c r="N82" i="15"/>
  <c r="M82" i="15"/>
  <c r="L82" i="15"/>
  <c r="K82" i="15"/>
  <c r="J82" i="15"/>
  <c r="O17" i="15"/>
  <c r="N17" i="15"/>
  <c r="M17" i="15"/>
  <c r="L17" i="15"/>
  <c r="K17" i="15"/>
  <c r="J17" i="15"/>
  <c r="I17" i="15"/>
  <c r="H17" i="15"/>
  <c r="G17" i="15"/>
  <c r="F17" i="15"/>
  <c r="E17" i="15"/>
  <c r="F8" i="15"/>
  <c r="E8" i="15"/>
  <c r="G6" i="15"/>
  <c r="F6" i="15"/>
  <c r="E6" i="15"/>
  <c r="P53" i="14"/>
  <c r="E53" i="14"/>
  <c r="P41" i="14"/>
  <c r="E41" i="14"/>
  <c r="E18" i="13"/>
  <c r="C1" i="12"/>
  <c r="D1" i="12"/>
  <c r="E1" i="12"/>
  <c r="F1" i="12"/>
  <c r="G1" i="12"/>
  <c r="H1" i="12"/>
  <c r="I1" i="12"/>
  <c r="J1" i="12"/>
  <c r="K1" i="12"/>
  <c r="L1" i="12"/>
  <c r="M1" i="12"/>
  <c r="N1" i="12"/>
  <c r="O1" i="12"/>
  <c r="P1" i="12"/>
  <c r="Q1" i="12"/>
  <c r="R1" i="12"/>
  <c r="S1" i="12"/>
  <c r="T1" i="12"/>
  <c r="U1" i="12"/>
  <c r="V1" i="12"/>
  <c r="W1" i="12"/>
  <c r="X1" i="12"/>
  <c r="Y1" i="12"/>
  <c r="Z1" i="12"/>
  <c r="AA1" i="12"/>
  <c r="AB1" i="12"/>
  <c r="AC1" i="12"/>
  <c r="AD1" i="12"/>
  <c r="AE1" i="12"/>
  <c r="AF1" i="12"/>
  <c r="AG1" i="12"/>
  <c r="AH1" i="12"/>
  <c r="AI1" i="12"/>
  <c r="AJ1" i="12"/>
  <c r="AK1" i="12"/>
  <c r="AL1" i="12"/>
  <c r="AM1" i="12"/>
  <c r="AN1" i="12"/>
  <c r="AO1" i="12"/>
  <c r="AP1" i="12"/>
  <c r="AQ1" i="12"/>
  <c r="AR1" i="12"/>
  <c r="AS1" i="12"/>
  <c r="AT1" i="12"/>
  <c r="AU1" i="12"/>
  <c r="AV1" i="12"/>
  <c r="AW1" i="12"/>
  <c r="J147" i="15"/>
  <c r="J159" i="15"/>
  <c r="M155" i="15"/>
  <c r="M167" i="15"/>
  <c r="E8" i="16"/>
  <c r="J12" i="16"/>
  <c r="J154" i="15"/>
  <c r="J15" i="16"/>
  <c r="J166" i="15"/>
  <c r="J21" i="16"/>
  <c r="J146" i="15"/>
  <c r="J11" i="16"/>
  <c r="H154" i="15"/>
  <c r="H15" i="16"/>
  <c r="J158" i="15"/>
  <c r="J17" i="16"/>
  <c r="H166" i="15"/>
  <c r="H21" i="16"/>
  <c r="M146" i="15"/>
  <c r="M11" i="16"/>
  <c r="M158" i="15"/>
  <c r="M154" i="15"/>
  <c r="M15" i="16"/>
  <c r="M166" i="15"/>
  <c r="M147" i="15"/>
  <c r="M159" i="15"/>
  <c r="H155" i="15"/>
  <c r="H167" i="15"/>
  <c r="J155" i="15"/>
  <c r="J167" i="15"/>
  <c r="N119" i="15"/>
  <c r="D154" i="15"/>
  <c r="D15" i="16"/>
  <c r="D142" i="15"/>
  <c r="D9" i="16"/>
  <c r="M23" i="16"/>
  <c r="D155" i="15"/>
  <c r="D143" i="15"/>
  <c r="D10" i="16"/>
  <c r="J18" i="16"/>
  <c r="D85" i="16"/>
  <c r="E85" i="16"/>
  <c r="M28" i="15"/>
  <c r="E70" i="16"/>
  <c r="E71" i="16"/>
  <c r="E72" i="16"/>
  <c r="K53" i="16"/>
  <c r="K54" i="16"/>
  <c r="G75" i="16"/>
  <c r="G76" i="16"/>
  <c r="C70" i="16"/>
  <c r="C71" i="16"/>
  <c r="C72" i="16"/>
  <c r="I53" i="16"/>
  <c r="I54" i="16"/>
  <c r="E75" i="16"/>
  <c r="E76" i="16"/>
  <c r="G70" i="16"/>
  <c r="G71" i="16"/>
  <c r="G72" i="16"/>
  <c r="M53" i="16"/>
  <c r="M54" i="16"/>
  <c r="I75" i="16"/>
  <c r="I76" i="16"/>
  <c r="E155" i="15"/>
  <c r="E167" i="15"/>
  <c r="E22" i="16"/>
  <c r="L24" i="16"/>
  <c r="G154" i="15"/>
  <c r="L154" i="15"/>
  <c r="G155" i="15"/>
  <c r="L155" i="15"/>
  <c r="D167" i="15"/>
  <c r="D22" i="16"/>
  <c r="K24" i="16"/>
  <c r="K146" i="15"/>
  <c r="K11" i="16"/>
  <c r="K147" i="15"/>
  <c r="K12" i="16"/>
  <c r="D166" i="15"/>
  <c r="D21" i="16"/>
  <c r="N53" i="16"/>
  <c r="F53" i="16"/>
  <c r="D53" i="16"/>
  <c r="O53" i="16"/>
  <c r="G53" i="16"/>
  <c r="E53" i="16"/>
  <c r="B70" i="16"/>
  <c r="B71" i="16"/>
  <c r="B72" i="16"/>
  <c r="H53" i="16"/>
  <c r="H54" i="16"/>
  <c r="D75" i="16"/>
  <c r="D76" i="16"/>
  <c r="D70" i="16"/>
  <c r="D71" i="16"/>
  <c r="D72" i="16"/>
  <c r="J53" i="16"/>
  <c r="J54" i="16"/>
  <c r="F75" i="16"/>
  <c r="F76" i="16"/>
  <c r="F70" i="16"/>
  <c r="F71" i="16"/>
  <c r="F72" i="16"/>
  <c r="L53" i="16"/>
  <c r="L54" i="16"/>
  <c r="H75" i="16"/>
  <c r="H76" i="16"/>
  <c r="E18" i="15"/>
  <c r="G18" i="15"/>
  <c r="I18" i="15"/>
  <c r="K18" i="15"/>
  <c r="M18" i="15"/>
  <c r="O18" i="15"/>
  <c r="F18" i="15"/>
  <c r="H18" i="15"/>
  <c r="J18" i="15"/>
  <c r="L18" i="15"/>
  <c r="N18" i="15"/>
  <c r="S120" i="15"/>
  <c r="T120" i="15"/>
  <c r="T123" i="15"/>
  <c r="S123" i="15"/>
  <c r="S122" i="15"/>
  <c r="T122" i="15"/>
  <c r="S119" i="15"/>
  <c r="L23" i="16"/>
  <c r="K23" i="16"/>
  <c r="F154" i="15"/>
  <c r="O146" i="15"/>
  <c r="O11" i="16"/>
  <c r="O147" i="15"/>
  <c r="O12" i="16"/>
  <c r="D7" i="16"/>
  <c r="D8" i="16"/>
  <c r="E143" i="15"/>
  <c r="E10" i="16"/>
  <c r="E42" i="14"/>
  <c r="P42" i="14"/>
  <c r="E54" i="14"/>
  <c r="P54" i="14"/>
  <c r="M16" i="16"/>
  <c r="M22" i="16"/>
  <c r="J148" i="15"/>
  <c r="J149" i="15"/>
  <c r="M18" i="16"/>
  <c r="M21" i="16"/>
  <c r="M6" i="16"/>
  <c r="J22" i="16"/>
  <c r="H6" i="16"/>
  <c r="E7" i="16"/>
  <c r="H22" i="16"/>
  <c r="J6" i="16"/>
  <c r="M24" i="16"/>
  <c r="M12" i="16"/>
  <c r="J160" i="15"/>
  <c r="J161" i="15"/>
  <c r="M17" i="16"/>
  <c r="M168" i="15"/>
  <c r="M211" i="15"/>
  <c r="M156" i="15"/>
  <c r="M199" i="15"/>
  <c r="M148" i="15"/>
  <c r="H156" i="15"/>
  <c r="H199" i="15"/>
  <c r="M160" i="15"/>
  <c r="H16" i="16"/>
  <c r="H168" i="15"/>
  <c r="H211" i="15"/>
  <c r="J168" i="15"/>
  <c r="J211" i="15"/>
  <c r="J156" i="15"/>
  <c r="J199" i="15"/>
  <c r="J16" i="16"/>
  <c r="D156" i="15"/>
  <c r="D199" i="15"/>
  <c r="E142" i="15"/>
  <c r="E9" i="16"/>
  <c r="E166" i="15"/>
  <c r="E154" i="15"/>
  <c r="L146" i="15"/>
  <c r="L11" i="16"/>
  <c r="L167" i="15"/>
  <c r="L22" i="16"/>
  <c r="L158" i="15"/>
  <c r="L147" i="15"/>
  <c r="L16" i="16"/>
  <c r="L15" i="16"/>
  <c r="H2" i="14"/>
  <c r="M137" i="15"/>
  <c r="L166" i="15"/>
  <c r="L21" i="16"/>
  <c r="D16" i="16"/>
  <c r="E16" i="16"/>
  <c r="L159" i="15"/>
  <c r="G16" i="16"/>
  <c r="D137" i="15"/>
  <c r="S2" i="14"/>
  <c r="G15" i="16"/>
  <c r="F15" i="16"/>
  <c r="K148" i="15"/>
  <c r="G156" i="15"/>
  <c r="G199" i="15"/>
  <c r="F166" i="15"/>
  <c r="F21" i="16"/>
  <c r="L156" i="15"/>
  <c r="L199" i="15"/>
  <c r="D168" i="15"/>
  <c r="D211" i="15"/>
  <c r="I167" i="15"/>
  <c r="I22" i="16"/>
  <c r="K166" i="15"/>
  <c r="K21" i="16"/>
  <c r="G166" i="15"/>
  <c r="G21" i="16"/>
  <c r="K158" i="15"/>
  <c r="I155" i="15"/>
  <c r="K154" i="15"/>
  <c r="K167" i="15"/>
  <c r="K22" i="16"/>
  <c r="G167" i="15"/>
  <c r="G22" i="16"/>
  <c r="I166" i="15"/>
  <c r="I21" i="16"/>
  <c r="K159" i="15"/>
  <c r="K155" i="15"/>
  <c r="I154" i="15"/>
  <c r="C77" i="16"/>
  <c r="C78" i="16"/>
  <c r="O148" i="15"/>
  <c r="M22" i="15"/>
  <c r="F143" i="15"/>
  <c r="F10" i="16"/>
  <c r="F8" i="16"/>
  <c r="F142" i="15"/>
  <c r="F9" i="16"/>
  <c r="F7" i="16"/>
  <c r="N158" i="15"/>
  <c r="N10" i="16"/>
  <c r="F167" i="15"/>
  <c r="F22" i="16"/>
  <c r="N159" i="15"/>
  <c r="F155" i="15"/>
  <c r="N147" i="15"/>
  <c r="N12" i="16"/>
  <c r="O158" i="15"/>
  <c r="N9" i="16"/>
  <c r="N7" i="16"/>
  <c r="O137" i="15"/>
  <c r="H137" i="15"/>
  <c r="O8" i="16"/>
  <c r="O10" i="16"/>
  <c r="O7" i="16"/>
  <c r="O9" i="16"/>
  <c r="N146" i="15"/>
  <c r="N11" i="16"/>
  <c r="O159" i="15"/>
  <c r="N8" i="16"/>
  <c r="J137" i="15"/>
  <c r="N137" i="15"/>
  <c r="E55" i="14"/>
  <c r="E43" i="14"/>
  <c r="P55" i="14"/>
  <c r="P43" i="14"/>
  <c r="E168" i="15"/>
  <c r="E211" i="15"/>
  <c r="E21" i="16"/>
  <c r="N5" i="16"/>
  <c r="H5" i="16"/>
  <c r="D5" i="16"/>
  <c r="L12" i="16"/>
  <c r="E156" i="15"/>
  <c r="E199" i="15"/>
  <c r="E15" i="16"/>
  <c r="L148" i="15"/>
  <c r="L160" i="15"/>
  <c r="L17" i="16"/>
  <c r="F168" i="15"/>
  <c r="F211" i="15"/>
  <c r="F137" i="15"/>
  <c r="E137" i="15"/>
  <c r="L168" i="15"/>
  <c r="L211" i="15"/>
  <c r="I137" i="15"/>
  <c r="N148" i="15"/>
  <c r="L137" i="15"/>
  <c r="I15" i="16"/>
  <c r="K17" i="16"/>
  <c r="S4" i="14"/>
  <c r="L18" i="16"/>
  <c r="G137" i="15"/>
  <c r="O18" i="16"/>
  <c r="F156" i="15"/>
  <c r="F199" i="15"/>
  <c r="F16" i="16"/>
  <c r="K16" i="16"/>
  <c r="G168" i="15"/>
  <c r="G211" i="15"/>
  <c r="K137" i="15"/>
  <c r="I168" i="15"/>
  <c r="I211" i="15"/>
  <c r="N17" i="16"/>
  <c r="K15" i="16"/>
  <c r="H135" i="15"/>
  <c r="I16" i="16"/>
  <c r="N18" i="16"/>
  <c r="K18" i="16"/>
  <c r="O17" i="16"/>
  <c r="O135" i="15"/>
  <c r="F135" i="15"/>
  <c r="G135" i="15"/>
  <c r="N135" i="15"/>
  <c r="D135" i="15"/>
  <c r="I156" i="15"/>
  <c r="I199" i="15"/>
  <c r="K156" i="15"/>
  <c r="K199" i="15"/>
  <c r="K160" i="15"/>
  <c r="K168" i="15"/>
  <c r="K211" i="15"/>
  <c r="O59" i="15"/>
  <c r="O160" i="15"/>
  <c r="N160" i="15"/>
  <c r="P44" i="14"/>
  <c r="P56" i="14"/>
  <c r="R6" i="14"/>
  <c r="E44" i="14"/>
  <c r="E56" i="14"/>
  <c r="C18" i="47"/>
  <c r="C12" i="47"/>
  <c r="C6" i="47"/>
  <c r="C7" i="47"/>
  <c r="R199" i="15"/>
  <c r="R211" i="15"/>
  <c r="Q179" i="15"/>
  <c r="U5" i="14"/>
  <c r="S6" i="14"/>
  <c r="I135" i="15"/>
  <c r="H4" i="14"/>
  <c r="E135" i="15"/>
  <c r="G6" i="14"/>
  <c r="N65" i="15"/>
  <c r="E57" i="14"/>
  <c r="E45" i="14"/>
  <c r="P57" i="14"/>
  <c r="R8" i="14"/>
  <c r="P45" i="14"/>
  <c r="C19" i="47"/>
  <c r="C14" i="47"/>
  <c r="U6" i="14"/>
  <c r="S8" i="14"/>
  <c r="J5" i="14"/>
  <c r="H6" i="14"/>
  <c r="J135" i="15"/>
  <c r="G8" i="14"/>
  <c r="R10" i="14"/>
  <c r="J10" i="16"/>
  <c r="E36" i="14"/>
  <c r="E37" i="14"/>
  <c r="E38" i="14"/>
  <c r="E39" i="14"/>
  <c r="P36" i="14"/>
  <c r="P37" i="14"/>
  <c r="P38" i="14"/>
  <c r="P39" i="14"/>
  <c r="K5" i="16"/>
  <c r="U7" i="14"/>
  <c r="S10" i="14"/>
  <c r="J6" i="14"/>
  <c r="H8" i="14"/>
  <c r="K135" i="15"/>
  <c r="G10" i="14"/>
  <c r="E47" i="14"/>
  <c r="R12" i="14"/>
  <c r="J8" i="16"/>
  <c r="J7" i="14"/>
  <c r="H10" i="14"/>
  <c r="U8" i="14"/>
  <c r="S12" i="14"/>
  <c r="L135" i="15"/>
  <c r="M135" i="15"/>
  <c r="G12" i="14"/>
  <c r="L10" i="16"/>
  <c r="M10" i="16"/>
  <c r="K10" i="16"/>
  <c r="O18" i="14"/>
  <c r="R14" i="14"/>
  <c r="R179" i="15"/>
  <c r="B12" i="47"/>
  <c r="J8" i="14"/>
  <c r="H12" i="14"/>
  <c r="U9" i="14"/>
  <c r="S14" i="14"/>
  <c r="G14" i="14"/>
  <c r="E49" i="14"/>
  <c r="D18" i="14"/>
  <c r="O19" i="14"/>
  <c r="O20" i="14"/>
  <c r="P49" i="14"/>
  <c r="B6" i="47"/>
  <c r="B18" i="47"/>
  <c r="B7" i="47"/>
  <c r="J9" i="14"/>
  <c r="H14" i="14"/>
  <c r="N63" i="15"/>
  <c r="S16" i="14"/>
  <c r="R18" i="14"/>
  <c r="E50" i="14"/>
  <c r="P50" i="14"/>
  <c r="O21" i="14"/>
  <c r="O22" i="14"/>
  <c r="D19" i="14"/>
  <c r="D20" i="14"/>
  <c r="B14" i="47"/>
  <c r="B19" i="47"/>
  <c r="J9" i="16"/>
  <c r="M9" i="16"/>
  <c r="K9" i="16"/>
  <c r="L9" i="16"/>
  <c r="U11" i="14"/>
  <c r="S18" i="14"/>
  <c r="H16" i="14"/>
  <c r="J7" i="16"/>
  <c r="N66" i="15"/>
  <c r="N92" i="15"/>
  <c r="N67" i="15"/>
  <c r="N93" i="15"/>
  <c r="G18" i="14"/>
  <c r="D21" i="14"/>
  <c r="D22" i="14"/>
  <c r="R20" i="14"/>
  <c r="O23" i="14"/>
  <c r="O24" i="14"/>
  <c r="P51" i="14"/>
  <c r="E51" i="14"/>
  <c r="L145" i="15"/>
  <c r="K145" i="15"/>
  <c r="H145" i="15"/>
  <c r="J145" i="15"/>
  <c r="M145" i="15"/>
  <c r="I145" i="15"/>
  <c r="G145" i="15"/>
  <c r="U12" i="14"/>
  <c r="S20" i="14"/>
  <c r="J11" i="14"/>
  <c r="H18" i="14"/>
  <c r="R22" i="14"/>
  <c r="G20" i="14"/>
  <c r="O25" i="14"/>
  <c r="O26" i="14"/>
  <c r="D23" i="14"/>
  <c r="D24" i="14"/>
  <c r="E18" i="47"/>
  <c r="E12" i="47"/>
  <c r="O168" i="15"/>
  <c r="G141" i="15"/>
  <c r="H141" i="15"/>
  <c r="K141" i="15"/>
  <c r="J141" i="15"/>
  <c r="L141" i="15"/>
  <c r="I141" i="15"/>
  <c r="M141" i="15"/>
  <c r="N156" i="15"/>
  <c r="U13" i="14"/>
  <c r="S22" i="14"/>
  <c r="O57" i="15"/>
  <c r="J12" i="14"/>
  <c r="H20" i="14"/>
  <c r="G22" i="14"/>
  <c r="O27" i="14"/>
  <c r="O28" i="14"/>
  <c r="D25" i="14"/>
  <c r="D26" i="14"/>
  <c r="R24" i="14"/>
  <c r="E6" i="47"/>
  <c r="N157" i="15"/>
  <c r="N199" i="15"/>
  <c r="O169" i="15"/>
  <c r="O211" i="15"/>
  <c r="D18" i="47"/>
  <c r="J13" i="14"/>
  <c r="H22" i="14"/>
  <c r="O60" i="15"/>
  <c r="O86" i="15"/>
  <c r="O154" i="15"/>
  <c r="O61" i="15"/>
  <c r="O87" i="15"/>
  <c r="O155" i="15"/>
  <c r="U14" i="14"/>
  <c r="S24" i="14"/>
  <c r="D164" i="15"/>
  <c r="G24" i="14"/>
  <c r="D27" i="14"/>
  <c r="D28" i="14"/>
  <c r="R26" i="14"/>
  <c r="O29" i="14"/>
  <c r="O30" i="14"/>
  <c r="D12" i="47"/>
  <c r="D6" i="47"/>
  <c r="D14" i="47"/>
  <c r="D7" i="47"/>
  <c r="E14" i="47"/>
  <c r="E7" i="47"/>
  <c r="F18" i="47"/>
  <c r="E19" i="47"/>
  <c r="D165" i="15"/>
  <c r="D207" i="15"/>
  <c r="J14" i="14"/>
  <c r="H24" i="14"/>
  <c r="O156" i="15"/>
  <c r="U15" i="14"/>
  <c r="S26" i="14"/>
  <c r="R28" i="14"/>
  <c r="E164" i="15"/>
  <c r="L84" i="15"/>
  <c r="L85" i="15"/>
  <c r="G26" i="14"/>
  <c r="O31" i="14"/>
  <c r="O32" i="14"/>
  <c r="D29" i="14"/>
  <c r="D30" i="14"/>
  <c r="D19" i="47"/>
  <c r="F12" i="47"/>
  <c r="F6" i="47"/>
  <c r="F14" i="47"/>
  <c r="F7" i="47"/>
  <c r="O157" i="15"/>
  <c r="O199" i="15"/>
  <c r="Q199" i="15"/>
  <c r="E165" i="15"/>
  <c r="E207" i="15"/>
  <c r="J15" i="14"/>
  <c r="H26" i="14"/>
  <c r="U16" i="14"/>
  <c r="S28" i="14"/>
  <c r="D152" i="15"/>
  <c r="F164" i="15"/>
  <c r="L151" i="15"/>
  <c r="M84" i="15"/>
  <c r="M85" i="15"/>
  <c r="L150" i="15"/>
  <c r="L90" i="15"/>
  <c r="L162" i="15"/>
  <c r="L91" i="15"/>
  <c r="L163" i="15"/>
  <c r="R30" i="14"/>
  <c r="G28" i="14"/>
  <c r="D31" i="14"/>
  <c r="D32" i="14"/>
  <c r="O33" i="14"/>
  <c r="O34" i="14"/>
  <c r="F19" i="47"/>
  <c r="F165" i="15"/>
  <c r="F207" i="15"/>
  <c r="D153" i="15"/>
  <c r="D195" i="15"/>
  <c r="E152" i="15"/>
  <c r="U17" i="14"/>
  <c r="S30" i="14"/>
  <c r="J16" i="14"/>
  <c r="H28" i="14"/>
  <c r="G164" i="15"/>
  <c r="N168" i="15"/>
  <c r="L96" i="15"/>
  <c r="L152" i="15"/>
  <c r="M151" i="15"/>
  <c r="M90" i="15"/>
  <c r="M162" i="15"/>
  <c r="M91" i="15"/>
  <c r="M163" i="15"/>
  <c r="M150" i="15"/>
  <c r="N84" i="15"/>
  <c r="N85" i="15"/>
  <c r="L97" i="15"/>
  <c r="L164" i="15"/>
  <c r="R32" i="14"/>
  <c r="G30" i="14"/>
  <c r="O35" i="14"/>
  <c r="D33" i="14"/>
  <c r="E153" i="15"/>
  <c r="E195" i="15"/>
  <c r="O173" i="15"/>
  <c r="N169" i="15"/>
  <c r="N211" i="15"/>
  <c r="Q211" i="15"/>
  <c r="L165" i="15"/>
  <c r="L207" i="15"/>
  <c r="L153" i="15"/>
  <c r="L195" i="15"/>
  <c r="G165" i="15"/>
  <c r="G207" i="15"/>
  <c r="N173" i="15"/>
  <c r="M96" i="15"/>
  <c r="O36" i="14"/>
  <c r="O37" i="14"/>
  <c r="O38" i="14"/>
  <c r="S35" i="14"/>
  <c r="J17" i="14"/>
  <c r="H30" i="14"/>
  <c r="F152" i="15"/>
  <c r="U18" i="14"/>
  <c r="S32" i="14"/>
  <c r="H164" i="15"/>
  <c r="M152" i="15"/>
  <c r="N151" i="15"/>
  <c r="O84" i="15"/>
  <c r="O85" i="15"/>
  <c r="N150" i="15"/>
  <c r="N90" i="15"/>
  <c r="N162" i="15"/>
  <c r="N91" i="15"/>
  <c r="N163" i="15"/>
  <c r="M97" i="15"/>
  <c r="M164" i="15"/>
  <c r="R34" i="14"/>
  <c r="D34" i="14"/>
  <c r="G32" i="14"/>
  <c r="F153" i="15"/>
  <c r="F195" i="15"/>
  <c r="M153" i="15"/>
  <c r="M195" i="15"/>
  <c r="D173" i="15"/>
  <c r="M165" i="15"/>
  <c r="M207" i="15"/>
  <c r="H165" i="15"/>
  <c r="H207" i="15"/>
  <c r="G152" i="15"/>
  <c r="U19" i="14"/>
  <c r="S34" i="14"/>
  <c r="J18" i="14"/>
  <c r="H32" i="14"/>
  <c r="D35" i="14"/>
  <c r="O39" i="14"/>
  <c r="O40" i="14"/>
  <c r="I164" i="15"/>
  <c r="K91" i="15"/>
  <c r="K163" i="15"/>
  <c r="K90" i="15"/>
  <c r="K162" i="15"/>
  <c r="K85" i="15"/>
  <c r="K84" i="15"/>
  <c r="N96" i="15"/>
  <c r="N152" i="15"/>
  <c r="O151" i="15"/>
  <c r="O90" i="15"/>
  <c r="O162" i="15"/>
  <c r="O91" i="15"/>
  <c r="O163" i="15"/>
  <c r="D82" i="15"/>
  <c r="D83" i="15"/>
  <c r="O150" i="15"/>
  <c r="N97" i="15"/>
  <c r="N164" i="15"/>
  <c r="R36" i="14"/>
  <c r="U20" i="14"/>
  <c r="G153" i="15"/>
  <c r="G195" i="15"/>
  <c r="N153" i="15"/>
  <c r="N195" i="15"/>
  <c r="N165" i="15"/>
  <c r="N207" i="15"/>
  <c r="I165" i="15"/>
  <c r="I207" i="15"/>
  <c r="E173" i="15"/>
  <c r="H152" i="15"/>
  <c r="D36" i="14"/>
  <c r="D37" i="14"/>
  <c r="D38" i="14"/>
  <c r="D39" i="14"/>
  <c r="D40" i="14"/>
  <c r="H35" i="14"/>
  <c r="G34" i="14"/>
  <c r="O41" i="14"/>
  <c r="O42" i="14"/>
  <c r="R38" i="14"/>
  <c r="U21" i="14"/>
  <c r="K164" i="15"/>
  <c r="J164" i="15"/>
  <c r="K151" i="15"/>
  <c r="K97" i="15"/>
  <c r="K150" i="15"/>
  <c r="K96" i="15"/>
  <c r="O96" i="15"/>
  <c r="O152" i="15"/>
  <c r="D147" i="15"/>
  <c r="D12" i="16"/>
  <c r="E82" i="15"/>
  <c r="E83" i="15"/>
  <c r="D88" i="15"/>
  <c r="D158" i="15"/>
  <c r="D89" i="15"/>
  <c r="D159" i="15"/>
  <c r="D146" i="15"/>
  <c r="D11" i="16"/>
  <c r="O97" i="15"/>
  <c r="O164" i="15"/>
  <c r="J152" i="15"/>
  <c r="J153" i="15"/>
  <c r="K165" i="15"/>
  <c r="K207" i="15"/>
  <c r="J165" i="15"/>
  <c r="J207" i="15"/>
  <c r="F173" i="15"/>
  <c r="H153" i="15"/>
  <c r="H195" i="15"/>
  <c r="O165" i="15"/>
  <c r="O207" i="15"/>
  <c r="Q207" i="15"/>
  <c r="O153" i="15"/>
  <c r="O195" i="15"/>
  <c r="Q195" i="15"/>
  <c r="J19" i="14"/>
  <c r="H34" i="14"/>
  <c r="I152" i="15"/>
  <c r="G36" i="14"/>
  <c r="J20" i="14"/>
  <c r="D17" i="16"/>
  <c r="D18" i="16"/>
  <c r="AW4" i="12"/>
  <c r="AT4" i="12"/>
  <c r="AU4" i="12"/>
  <c r="AH4" i="12"/>
  <c r="X4" i="12"/>
  <c r="O4" i="12"/>
  <c r="P4" i="12"/>
  <c r="C4" i="12"/>
  <c r="D4" i="12"/>
  <c r="I4" i="12"/>
  <c r="J4" i="12"/>
  <c r="AN4" i="12"/>
  <c r="AO4" i="12"/>
  <c r="AK4" i="12"/>
  <c r="AL4" i="12"/>
  <c r="AB4" i="12"/>
  <c r="U4" i="12"/>
  <c r="V4" i="12"/>
  <c r="L4" i="12"/>
  <c r="M4" i="12"/>
  <c r="D41" i="14"/>
  <c r="D42" i="14"/>
  <c r="R40" i="14"/>
  <c r="U22" i="14"/>
  <c r="O43" i="14"/>
  <c r="O44" i="14"/>
  <c r="G38" i="14"/>
  <c r="J21" i="14"/>
  <c r="K152" i="15"/>
  <c r="D96" i="15"/>
  <c r="D148" i="15"/>
  <c r="D149" i="15"/>
  <c r="E88" i="15"/>
  <c r="E158" i="15"/>
  <c r="E89" i="15"/>
  <c r="E159" i="15"/>
  <c r="E147" i="15"/>
  <c r="E12" i="16"/>
  <c r="F82" i="15"/>
  <c r="F83" i="15"/>
  <c r="E146" i="15"/>
  <c r="E11" i="16"/>
  <c r="D97" i="15"/>
  <c r="D160" i="15"/>
  <c r="D161" i="15"/>
  <c r="J195" i="15"/>
  <c r="R207" i="15"/>
  <c r="K153" i="15"/>
  <c r="K195" i="15"/>
  <c r="AC4" i="12"/>
  <c r="J5" i="16"/>
  <c r="I5" i="16"/>
  <c r="Y4" i="12"/>
  <c r="E5" i="16"/>
  <c r="I153" i="15"/>
  <c r="I195" i="15"/>
  <c r="G173" i="15"/>
  <c r="AI4" i="12"/>
  <c r="O5" i="16"/>
  <c r="E18" i="16"/>
  <c r="E17" i="16"/>
  <c r="F4" i="12"/>
  <c r="G4" i="12"/>
  <c r="AQ4" i="12"/>
  <c r="AR4" i="12"/>
  <c r="AN5" i="12"/>
  <c r="AB5" i="12"/>
  <c r="I6" i="16"/>
  <c r="AP5" i="12"/>
  <c r="AQ5" i="12"/>
  <c r="AD5" i="12"/>
  <c r="R5" i="12"/>
  <c r="S5" i="12"/>
  <c r="P5" i="12"/>
  <c r="F5" i="12"/>
  <c r="G5" i="12"/>
  <c r="S4" i="12"/>
  <c r="R4" i="12"/>
  <c r="AF4" i="12"/>
  <c r="M5" i="16"/>
  <c r="AE4" i="12"/>
  <c r="L5" i="16"/>
  <c r="R42" i="14"/>
  <c r="U23" i="14"/>
  <c r="O45" i="14"/>
  <c r="O46" i="14"/>
  <c r="G40" i="14"/>
  <c r="J22" i="14"/>
  <c r="D43" i="14"/>
  <c r="D44" i="14"/>
  <c r="E148" i="15"/>
  <c r="E149" i="15"/>
  <c r="E97" i="15"/>
  <c r="E96" i="15"/>
  <c r="F147" i="15"/>
  <c r="F12" i="16"/>
  <c r="G82" i="15"/>
  <c r="G83" i="15"/>
  <c r="F146" i="15"/>
  <c r="F11" i="16"/>
  <c r="F88" i="15"/>
  <c r="F158" i="15"/>
  <c r="F89" i="15"/>
  <c r="F159" i="15"/>
  <c r="E160" i="15"/>
  <c r="E161" i="15"/>
  <c r="R195" i="15"/>
  <c r="Z4" i="12"/>
  <c r="G5" i="16"/>
  <c r="F5" i="16"/>
  <c r="H173" i="15"/>
  <c r="AE5" i="12"/>
  <c r="L6" i="16"/>
  <c r="K6" i="16"/>
  <c r="F18" i="16"/>
  <c r="F17" i="16"/>
  <c r="Z5" i="12"/>
  <c r="G6" i="16"/>
  <c r="W5" i="12"/>
  <c r="D6" i="16"/>
  <c r="Y5" i="12"/>
  <c r="F6" i="16"/>
  <c r="U5" i="12"/>
  <c r="V5" i="12"/>
  <c r="X5" i="12"/>
  <c r="E6" i="16"/>
  <c r="AL5" i="12"/>
  <c r="AI5" i="12"/>
  <c r="AK5" i="12"/>
  <c r="AG5" i="12"/>
  <c r="N6" i="16"/>
  <c r="AH5" i="12"/>
  <c r="O6" i="16"/>
  <c r="AJ5" i="12"/>
  <c r="AU5" i="12"/>
  <c r="AW5" i="12"/>
  <c r="AS5" i="12"/>
  <c r="AT5" i="12"/>
  <c r="AV5" i="12"/>
  <c r="AF6" i="12"/>
  <c r="AE6" i="12"/>
  <c r="AD6" i="12"/>
  <c r="AQ6" i="12"/>
  <c r="AP6" i="12"/>
  <c r="AR6" i="12"/>
  <c r="N5" i="12"/>
  <c r="L5" i="12"/>
  <c r="J5" i="12"/>
  <c r="M5" i="12"/>
  <c r="K5" i="12"/>
  <c r="I5" i="12"/>
  <c r="H6" i="12"/>
  <c r="F6" i="12"/>
  <c r="G6" i="12"/>
  <c r="T6" i="12"/>
  <c r="S6" i="12"/>
  <c r="R6" i="12"/>
  <c r="G42" i="14"/>
  <c r="J23" i="14"/>
  <c r="D45" i="14"/>
  <c r="D46" i="14"/>
  <c r="R44" i="14"/>
  <c r="U24" i="14"/>
  <c r="O47" i="14"/>
  <c r="O48" i="14"/>
  <c r="J96" i="15"/>
  <c r="J97" i="15"/>
  <c r="F96" i="15"/>
  <c r="F148" i="15"/>
  <c r="F149" i="15"/>
  <c r="I82" i="15"/>
  <c r="I83" i="15"/>
  <c r="G147" i="15"/>
  <c r="G12" i="16"/>
  <c r="G88" i="15"/>
  <c r="G158" i="15"/>
  <c r="G89" i="15"/>
  <c r="G159" i="15"/>
  <c r="H82" i="15"/>
  <c r="H83" i="15"/>
  <c r="G146" i="15"/>
  <c r="G11" i="16"/>
  <c r="F97" i="15"/>
  <c r="F160" i="15"/>
  <c r="F161" i="15"/>
  <c r="L8" i="16"/>
  <c r="L7" i="16"/>
  <c r="K8" i="16"/>
  <c r="K7" i="16"/>
  <c r="I173" i="15"/>
  <c r="M8" i="16"/>
  <c r="M7" i="16"/>
  <c r="G18" i="16"/>
  <c r="G17" i="16"/>
  <c r="R46" i="14"/>
  <c r="U25" i="14"/>
  <c r="O49" i="14"/>
  <c r="O50" i="14"/>
  <c r="G44" i="14"/>
  <c r="J24" i="14"/>
  <c r="D47" i="14"/>
  <c r="D48" i="14"/>
  <c r="G148" i="15"/>
  <c r="G149" i="15"/>
  <c r="G96" i="15"/>
  <c r="I88" i="15"/>
  <c r="I158" i="15"/>
  <c r="I89" i="15"/>
  <c r="I159" i="15"/>
  <c r="H147" i="15"/>
  <c r="H12" i="16"/>
  <c r="I147" i="15"/>
  <c r="I12" i="16"/>
  <c r="H88" i="15"/>
  <c r="H158" i="15"/>
  <c r="H89" i="15"/>
  <c r="H159" i="15"/>
  <c r="H146" i="15"/>
  <c r="H11" i="16"/>
  <c r="I146" i="15"/>
  <c r="I11" i="16"/>
  <c r="I96" i="15"/>
  <c r="G97" i="15"/>
  <c r="G160" i="15"/>
  <c r="G161" i="15"/>
  <c r="J173" i="15"/>
  <c r="Q12" i="47"/>
  <c r="I18" i="16"/>
  <c r="H18" i="16"/>
  <c r="I17" i="16"/>
  <c r="H17" i="16"/>
  <c r="H148" i="15"/>
  <c r="H149" i="15"/>
  <c r="R48" i="14"/>
  <c r="U26" i="14"/>
  <c r="D49" i="14"/>
  <c r="D50" i="14"/>
  <c r="O51" i="14"/>
  <c r="O52" i="14"/>
  <c r="G46" i="14"/>
  <c r="J25" i="14"/>
  <c r="H96" i="15"/>
  <c r="I148" i="15"/>
  <c r="I149" i="15"/>
  <c r="I97" i="15"/>
  <c r="H97" i="15"/>
  <c r="H160" i="15"/>
  <c r="H161" i="15"/>
  <c r="I160" i="15"/>
  <c r="I161" i="15"/>
  <c r="Q18" i="47"/>
  <c r="Q6" i="47"/>
  <c r="Q7" i="47"/>
  <c r="R50" i="14"/>
  <c r="U27" i="14"/>
  <c r="G48" i="14"/>
  <c r="J26" i="14"/>
  <c r="O53" i="14"/>
  <c r="O54" i="14"/>
  <c r="D51" i="14"/>
  <c r="D52" i="14"/>
  <c r="Q19" i="47"/>
  <c r="Q14" i="47"/>
  <c r="D53" i="14"/>
  <c r="D54" i="14"/>
  <c r="G50" i="14"/>
  <c r="J27" i="14"/>
  <c r="R52" i="14"/>
  <c r="U28" i="14"/>
  <c r="O55" i="14"/>
  <c r="O56" i="14"/>
  <c r="O57" i="14"/>
  <c r="R56" i="14"/>
  <c r="U30" i="14"/>
  <c r="R54" i="14"/>
  <c r="U29" i="14"/>
  <c r="G52" i="14"/>
  <c r="J28" i="14"/>
  <c r="D55" i="14"/>
  <c r="D56" i="14"/>
  <c r="D57" i="14"/>
  <c r="G56" i="14"/>
  <c r="J30" i="14"/>
  <c r="G54" i="14"/>
  <c r="J29" i="14"/>
  <c r="AL10" i="12"/>
  <c r="AV12" i="12"/>
  <c r="AJ10" i="12"/>
  <c r="AU12" i="12"/>
  <c r="AI10" i="12"/>
  <c r="AD10" i="12"/>
  <c r="AP12" i="12"/>
  <c r="AW12" i="12"/>
  <c r="AK10" i="12"/>
  <c r="AR12" i="12"/>
  <c r="AF10" i="12"/>
  <c r="AM10" i="12"/>
  <c r="AT12" i="12"/>
  <c r="AH10" i="12"/>
  <c r="AO10" i="12"/>
  <c r="AS12" i="12"/>
  <c r="AG10" i="12"/>
  <c r="AQ12" i="12"/>
  <c r="AE10" i="12"/>
  <c r="AN10" i="12"/>
  <c r="L14" i="16"/>
  <c r="L13" i="16"/>
  <c r="N13" i="16"/>
  <c r="N14" i="16"/>
  <c r="K13" i="16"/>
  <c r="K14" i="16"/>
  <c r="O14" i="16"/>
  <c r="O13" i="16"/>
  <c r="M13" i="16"/>
  <c r="M14" i="16"/>
  <c r="AP13" i="12"/>
  <c r="AD11" i="12"/>
  <c r="K20" i="16"/>
  <c r="K19" i="16"/>
  <c r="AE11" i="12"/>
  <c r="AQ13" i="12"/>
  <c r="L19" i="16"/>
  <c r="L20" i="16"/>
  <c r="AF11" i="12"/>
  <c r="AR13" i="12"/>
  <c r="M19" i="16"/>
  <c r="M20" i="16"/>
  <c r="AG11" i="12"/>
  <c r="AS13" i="12"/>
  <c r="N20" i="16"/>
  <c r="N19" i="16"/>
  <c r="AH11" i="12"/>
  <c r="AT13" i="12"/>
  <c r="O20" i="16"/>
  <c r="O19" i="16"/>
  <c r="AU13" i="12"/>
  <c r="AI11" i="12"/>
  <c r="AJ11" i="12"/>
  <c r="AV13" i="12"/>
  <c r="AK11" i="12"/>
  <c r="AW13" i="12"/>
  <c r="AL11" i="12"/>
  <c r="AM11" i="12"/>
  <c r="AN11" i="12"/>
  <c r="AO11" i="12"/>
  <c r="U14" i="12"/>
  <c r="B5" i="13"/>
  <c r="C7" i="13"/>
  <c r="F7" i="13"/>
  <c r="N7" i="12"/>
  <c r="B7" i="12"/>
  <c r="AL7" i="12"/>
  <c r="Z7" i="12"/>
  <c r="C8" i="13"/>
  <c r="F8" i="13"/>
  <c r="C6" i="13"/>
  <c r="E7" i="13"/>
  <c r="AS14" i="12"/>
  <c r="J14" i="12"/>
  <c r="AG14" i="12"/>
  <c r="N6" i="12"/>
  <c r="AL6" i="12"/>
  <c r="Z6" i="12"/>
  <c r="B6" i="12"/>
  <c r="N24" i="16"/>
  <c r="N23" i="16"/>
  <c r="D17" i="13"/>
  <c r="F17" i="13"/>
  <c r="D18" i="13"/>
  <c r="F18" i="13"/>
  <c r="AT14" i="12"/>
  <c r="AH14" i="12"/>
  <c r="V14" i="12"/>
  <c r="K14" i="12"/>
  <c r="G7" i="13"/>
  <c r="H7" i="13"/>
  <c r="E8" i="13"/>
  <c r="E6" i="13"/>
  <c r="F6" i="13"/>
  <c r="C12" i="13"/>
  <c r="C11" i="13"/>
  <c r="C10" i="13"/>
  <c r="D10" i="13"/>
  <c r="D12" i="13"/>
  <c r="D11" i="13"/>
  <c r="O24" i="16"/>
  <c r="O23" i="16"/>
  <c r="D21" i="13"/>
  <c r="E21" i="13"/>
  <c r="D20" i="13"/>
  <c r="D15" i="13"/>
  <c r="U11" i="12"/>
  <c r="C17" i="13"/>
  <c r="E17" i="13"/>
  <c r="G8" i="13"/>
  <c r="H8" i="13"/>
  <c r="AU14" i="12"/>
  <c r="W14" i="12"/>
  <c r="L14" i="12"/>
  <c r="AI14" i="12"/>
  <c r="U10" i="12"/>
  <c r="G6" i="13"/>
  <c r="H6" i="13"/>
  <c r="C15" i="13"/>
  <c r="N25" i="16"/>
  <c r="N26" i="16"/>
  <c r="C13" i="13"/>
  <c r="E10" i="13"/>
  <c r="E11" i="13"/>
  <c r="E12" i="13"/>
  <c r="F10" i="13"/>
  <c r="F11" i="13"/>
  <c r="F12" i="13"/>
  <c r="D13" i="13"/>
  <c r="D24" i="16"/>
  <c r="D23" i="16"/>
  <c r="C20" i="13"/>
  <c r="E20" i="13"/>
  <c r="C16" i="13"/>
  <c r="E15" i="13"/>
  <c r="AM12" i="12"/>
  <c r="AH12" i="12"/>
  <c r="V10" i="12"/>
  <c r="AO12" i="12"/>
  <c r="AL12" i="12"/>
  <c r="AV14" i="12"/>
  <c r="AJ14" i="12"/>
  <c r="X14" i="12"/>
  <c r="M14" i="12"/>
  <c r="AI12" i="12"/>
  <c r="AK12" i="12"/>
  <c r="AJ12" i="12"/>
  <c r="AN12" i="12"/>
  <c r="V11" i="12"/>
  <c r="F15" i="13"/>
  <c r="D16" i="13"/>
  <c r="O25" i="16"/>
  <c r="O26" i="16"/>
  <c r="E23" i="16"/>
  <c r="E24" i="16"/>
  <c r="AM6" i="12"/>
  <c r="AN6" i="12"/>
  <c r="O6" i="12"/>
  <c r="P6" i="12"/>
  <c r="D25" i="16"/>
  <c r="D26" i="16"/>
  <c r="O16" i="16"/>
  <c r="O15" i="16"/>
  <c r="AI13" i="12"/>
  <c r="AW14" i="12"/>
  <c r="Y14" i="12"/>
  <c r="N14" i="12"/>
  <c r="AK14" i="12"/>
  <c r="C6" i="12"/>
  <c r="D6" i="12"/>
  <c r="N32" i="16"/>
  <c r="K106" i="16"/>
  <c r="K104" i="16"/>
  <c r="P23" i="47"/>
  <c r="P42" i="47"/>
  <c r="K105" i="16"/>
  <c r="H105" i="16"/>
  <c r="G10" i="16"/>
  <c r="G9" i="16"/>
  <c r="H106" i="16"/>
  <c r="AA6" i="12"/>
  <c r="G8" i="16"/>
  <c r="G7" i="16"/>
  <c r="F24" i="16"/>
  <c r="F23" i="16"/>
  <c r="H104" i="16"/>
  <c r="H23" i="47"/>
  <c r="G105" i="16"/>
  <c r="G104" i="16"/>
  <c r="G23" i="47"/>
  <c r="E39" i="16"/>
  <c r="E38" i="16"/>
  <c r="E50" i="16"/>
  <c r="G113" i="16"/>
  <c r="G112" i="16"/>
  <c r="G31" i="47"/>
  <c r="G111" i="16"/>
  <c r="G30" i="47"/>
  <c r="D7" i="12"/>
  <c r="C7" i="12"/>
  <c r="O7" i="12"/>
  <c r="P7" i="12"/>
  <c r="AN7" i="12"/>
  <c r="AM7" i="12"/>
  <c r="AB7" i="12"/>
  <c r="AA7" i="12"/>
  <c r="O32" i="16"/>
  <c r="O29" i="16"/>
  <c r="O41" i="16"/>
  <c r="E25" i="16"/>
  <c r="E26" i="16"/>
  <c r="N31" i="16"/>
  <c r="N43" i="16"/>
  <c r="N30" i="16"/>
  <c r="N42" i="16"/>
  <c r="N29" i="16"/>
  <c r="N41" i="16"/>
  <c r="N44" i="16"/>
  <c r="AL14" i="12"/>
  <c r="O14" i="12"/>
  <c r="Z14" i="12"/>
  <c r="AJ13" i="12"/>
  <c r="P12" i="47"/>
  <c r="H18" i="47"/>
  <c r="H12" i="47"/>
  <c r="H6" i="47"/>
  <c r="H7" i="47"/>
  <c r="P18" i="47"/>
  <c r="P6" i="47"/>
  <c r="P7" i="47"/>
  <c r="AB6" i="12"/>
  <c r="H8" i="16"/>
  <c r="H7" i="16"/>
  <c r="G24" i="16"/>
  <c r="G23" i="16"/>
  <c r="H10" i="16"/>
  <c r="H9" i="16"/>
  <c r="I10" i="16"/>
  <c r="I9" i="16"/>
  <c r="D32" i="16"/>
  <c r="D29" i="16"/>
  <c r="D41" i="16"/>
  <c r="G106" i="16"/>
  <c r="O30" i="16"/>
  <c r="O42" i="16"/>
  <c r="E51" i="16"/>
  <c r="O44" i="16"/>
  <c r="E36" i="16"/>
  <c r="E48" i="16"/>
  <c r="E35" i="16"/>
  <c r="E47" i="16"/>
  <c r="E37" i="16"/>
  <c r="E49" i="16"/>
  <c r="E34" i="16"/>
  <c r="E46" i="16"/>
  <c r="O31" i="16"/>
  <c r="O43" i="16"/>
  <c r="F25" i="16"/>
  <c r="F26" i="16"/>
  <c r="AK13" i="12"/>
  <c r="AA14" i="12"/>
  <c r="AM14" i="12"/>
  <c r="P14" i="12"/>
  <c r="G18" i="47"/>
  <c r="G12" i="47"/>
  <c r="G6" i="47"/>
  <c r="G7" i="47"/>
  <c r="H14" i="47"/>
  <c r="H19" i="47"/>
  <c r="P14" i="47"/>
  <c r="P19" i="47"/>
  <c r="J106" i="16"/>
  <c r="H24" i="16"/>
  <c r="H23" i="16"/>
  <c r="I8" i="16"/>
  <c r="I7" i="16"/>
  <c r="J104" i="16"/>
  <c r="O23" i="47"/>
  <c r="O42" i="47"/>
  <c r="J105" i="16"/>
  <c r="D30" i="16"/>
  <c r="D42" i="16"/>
  <c r="K25" i="16"/>
  <c r="K26" i="16"/>
  <c r="K55" i="16"/>
  <c r="E32" i="16"/>
  <c r="E44" i="16"/>
  <c r="D44" i="16"/>
  <c r="D31" i="16"/>
  <c r="D43" i="16"/>
  <c r="M25" i="16"/>
  <c r="M26" i="16"/>
  <c r="G25" i="16"/>
  <c r="G26" i="16"/>
  <c r="D59" i="16"/>
  <c r="AN14" i="12"/>
  <c r="Q14" i="12"/>
  <c r="AB14" i="12"/>
  <c r="AL13" i="12"/>
  <c r="L25" i="16"/>
  <c r="L26" i="16"/>
  <c r="L55" i="16"/>
  <c r="G14" i="47"/>
  <c r="I23" i="16"/>
  <c r="I24" i="16"/>
  <c r="F39" i="16"/>
  <c r="G19" i="47"/>
  <c r="E31" i="16"/>
  <c r="E43" i="16"/>
  <c r="E29" i="16"/>
  <c r="E41" i="16"/>
  <c r="B83" i="16"/>
  <c r="F83" i="16"/>
  <c r="E30" i="16"/>
  <c r="E42" i="16"/>
  <c r="H25" i="16"/>
  <c r="H26" i="16"/>
  <c r="H55" i="16"/>
  <c r="AM13" i="12"/>
  <c r="AC14" i="12"/>
  <c r="AO14" i="12"/>
  <c r="M55" i="16"/>
  <c r="M56" i="16"/>
  <c r="J24" i="16"/>
  <c r="J23" i="16"/>
  <c r="G39" i="16"/>
  <c r="I25" i="16"/>
  <c r="I26" i="16"/>
  <c r="I55" i="16"/>
  <c r="I57" i="16"/>
  <c r="K57" i="16"/>
  <c r="H57" i="16"/>
  <c r="F51" i="16"/>
  <c r="F36" i="16"/>
  <c r="F48" i="16"/>
  <c r="F38" i="16"/>
  <c r="F50" i="16"/>
  <c r="F37" i="16"/>
  <c r="F49" i="16"/>
  <c r="F35" i="16"/>
  <c r="F47" i="16"/>
  <c r="F34" i="16"/>
  <c r="F46" i="16"/>
  <c r="AN13" i="12"/>
  <c r="H39" i="16"/>
  <c r="H36" i="16"/>
  <c r="H48" i="16"/>
  <c r="J25" i="16"/>
  <c r="J26" i="16"/>
  <c r="J55" i="16"/>
  <c r="J57" i="16"/>
  <c r="D60" i="16"/>
  <c r="AO13" i="12"/>
  <c r="G38" i="16"/>
  <c r="G50" i="16"/>
  <c r="G36" i="16"/>
  <c r="G48" i="16"/>
  <c r="G35" i="16"/>
  <c r="G47" i="16"/>
  <c r="G37" i="16"/>
  <c r="G49" i="16"/>
  <c r="G34" i="16"/>
  <c r="G46" i="16"/>
  <c r="G51" i="16"/>
  <c r="I39" i="16"/>
  <c r="I36" i="16"/>
  <c r="I48" i="16"/>
  <c r="H37" i="16"/>
  <c r="H49" i="16"/>
  <c r="H34" i="16"/>
  <c r="H46" i="16"/>
  <c r="D61" i="16"/>
  <c r="D62" i="16"/>
  <c r="D63" i="16"/>
  <c r="H51" i="16"/>
  <c r="H38" i="16"/>
  <c r="H50" i="16"/>
  <c r="H35" i="16"/>
  <c r="H47" i="16"/>
  <c r="J111" i="16"/>
  <c r="O30" i="47"/>
  <c r="O49" i="47"/>
  <c r="J113" i="16"/>
  <c r="J39" i="16"/>
  <c r="J51" i="16"/>
  <c r="J112" i="16"/>
  <c r="O31" i="47"/>
  <c r="O50" i="47"/>
  <c r="I37" i="16"/>
  <c r="I49" i="16"/>
  <c r="I51" i="16"/>
  <c r="I35" i="16"/>
  <c r="I47" i="16"/>
  <c r="I34" i="16"/>
  <c r="I46" i="16"/>
  <c r="I38" i="16"/>
  <c r="I50" i="16"/>
  <c r="O12" i="47"/>
  <c r="O18" i="47"/>
  <c r="O6" i="47"/>
  <c r="O7" i="47"/>
  <c r="J36" i="16"/>
  <c r="J48" i="16"/>
  <c r="J38" i="16"/>
  <c r="J50" i="16"/>
  <c r="J35" i="16"/>
  <c r="J47" i="16"/>
  <c r="B84" i="16"/>
  <c r="F84" i="16"/>
  <c r="J37" i="16"/>
  <c r="J49" i="16"/>
  <c r="J34" i="16"/>
  <c r="J46" i="16"/>
  <c r="B82" i="16"/>
  <c r="O19" i="47"/>
  <c r="O14" i="47"/>
  <c r="B85" i="16"/>
  <c r="F85" i="16"/>
  <c r="F90" i="16"/>
  <c r="B95" i="16"/>
  <c r="F82" i="16"/>
  <c r="F89" i="16"/>
  <c r="B87" i="16"/>
  <c r="F87" i="16"/>
  <c r="B86" i="16"/>
  <c r="F86" i="16"/>
  <c r="F91" i="16"/>
  <c r="B94" i="16"/>
  <c r="B96" i="16"/>
  <c r="C4" i="53"/>
  <c r="C20" i="53"/>
  <c r="G20" i="53"/>
  <c r="E20" i="53"/>
  <c r="F20" i="53"/>
  <c r="D20" i="53"/>
  <c r="H6" i="53"/>
  <c r="H14" i="53"/>
  <c r="H7" i="53"/>
  <c r="H9" i="53"/>
  <c r="H22" i="53"/>
  <c r="H23" i="53"/>
  <c r="H20" i="53"/>
  <c r="I9" i="53"/>
  <c r="I6" i="53"/>
  <c r="I14" i="53"/>
  <c r="I7" i="53"/>
  <c r="I20" i="53"/>
  <c r="H17" i="53"/>
  <c r="I17" i="53"/>
  <c r="I22" i="53"/>
  <c r="I23" i="53"/>
  <c r="H51" i="53"/>
  <c r="I51" i="53"/>
  <c r="B51" i="53"/>
  <c r="N18" i="61"/>
  <c r="F20" i="61"/>
  <c r="M20" i="61"/>
  <c r="P20" i="61"/>
  <c r="C51" i="53"/>
  <c r="E51" i="53"/>
  <c r="F51" i="53"/>
  <c r="D51" i="53"/>
  <c r="F6" i="60"/>
  <c r="F12" i="60"/>
  <c r="F7" i="60"/>
  <c r="F13" i="60"/>
  <c r="F11" i="60"/>
  <c r="G51" i="53"/>
  <c r="J51" i="53"/>
  <c r="F8" i="60"/>
  <c r="F9" i="60"/>
  <c r="M20" i="60"/>
  <c r="F10" i="60"/>
  <c r="C21" i="61"/>
  <c r="J58" i="53"/>
  <c r="F21" i="61"/>
  <c r="M21" i="61"/>
  <c r="P21" i="61"/>
  <c r="Q21" i="61"/>
  <c r="G14" i="60"/>
  <c r="H14" i="60"/>
  <c r="B4" i="55"/>
  <c r="G18" i="61"/>
  <c r="Q18" i="61"/>
  <c r="D14" i="55"/>
  <c r="C22" i="61"/>
  <c r="H50" i="61"/>
  <c r="L50" i="61"/>
  <c r="M22" i="61"/>
  <c r="P22" i="61"/>
  <c r="F22" i="61"/>
  <c r="O50" i="61"/>
  <c r="R50" i="61"/>
  <c r="D12" i="65"/>
  <c r="C9" i="61"/>
  <c r="F9" i="61"/>
  <c r="M9" i="61"/>
  <c r="P9" i="61"/>
  <c r="G15" i="64"/>
  <c r="G17" i="64"/>
  <c r="H17" i="64"/>
  <c r="G16" i="64"/>
  <c r="H16" i="64"/>
  <c r="I15" i="64"/>
  <c r="H15" i="64"/>
  <c r="F101" i="60"/>
  <c r="F103" i="60"/>
  <c r="F102" i="60"/>
  <c r="F100" i="60"/>
  <c r="M9" i="60"/>
  <c r="G104" i="60"/>
  <c r="F104" i="60"/>
  <c r="G96" i="60"/>
  <c r="F96" i="60"/>
  <c r="J67" i="63"/>
  <c r="F94" i="60"/>
  <c r="F95" i="60"/>
  <c r="F99" i="60"/>
  <c r="M22" i="60"/>
  <c r="F98" i="60"/>
  <c r="M21" i="60"/>
  <c r="F97" i="60"/>
  <c r="G97" i="60"/>
  <c r="H27" i="64"/>
  <c r="B4" i="65"/>
  <c r="C5" i="65"/>
  <c r="C4" i="61"/>
  <c r="M4" i="61"/>
  <c r="P4" i="61"/>
  <c r="F4" i="61"/>
  <c r="G105" i="60"/>
  <c r="H105" i="60"/>
  <c r="D15" i="65"/>
  <c r="B14" i="65"/>
  <c r="D16" i="65"/>
  <c r="P3" i="61"/>
  <c r="F48" i="31"/>
  <c r="H48" i="31"/>
  <c r="F65" i="31"/>
  <c r="G48" i="31"/>
  <c r="G65" i="31"/>
  <c r="H65" i="31"/>
  <c r="J16" i="34"/>
  <c r="J20" i="34"/>
  <c r="I65" i="31"/>
  <c r="C65" i="31"/>
  <c r="D65" i="31"/>
  <c r="E65" i="31"/>
  <c r="G75" i="60"/>
  <c r="J9" i="34"/>
  <c r="J13" i="34"/>
  <c r="N25" i="61"/>
  <c r="Q25" i="61"/>
  <c r="G25" i="61"/>
  <c r="M27" i="61"/>
  <c r="P27" i="61"/>
  <c r="F27" i="61"/>
  <c r="G26" i="61"/>
  <c r="N26" i="61"/>
  <c r="Q26" i="61"/>
  <c r="J48" i="31"/>
  <c r="B5" i="29"/>
  <c r="G69" i="60"/>
  <c r="J65" i="31"/>
  <c r="K65" i="31"/>
  <c r="F75" i="60"/>
  <c r="F63" i="60"/>
  <c r="M13" i="60"/>
  <c r="F65" i="60"/>
  <c r="F71" i="60"/>
  <c r="J19" i="34"/>
  <c r="J22" i="34"/>
  <c r="G73" i="60"/>
  <c r="G61" i="60"/>
  <c r="F74" i="60"/>
  <c r="G74" i="60"/>
  <c r="F69" i="60"/>
  <c r="F67" i="60"/>
  <c r="F61" i="60"/>
  <c r="F60" i="60"/>
  <c r="M15" i="60"/>
  <c r="K66" i="31"/>
  <c r="F64" i="60"/>
  <c r="F66" i="60"/>
  <c r="F68" i="60"/>
  <c r="F62" i="60"/>
  <c r="G62" i="60"/>
  <c r="G72" i="60"/>
  <c r="F72" i="60"/>
  <c r="F70" i="60"/>
  <c r="F73" i="60"/>
  <c r="G71" i="60"/>
  <c r="E25" i="67"/>
  <c r="C28" i="61"/>
  <c r="B4" i="37"/>
  <c r="M28" i="61"/>
  <c r="P28" i="61"/>
  <c r="F28" i="61"/>
  <c r="G76" i="60"/>
  <c r="H76" i="60"/>
  <c r="D13" i="37"/>
  <c r="C29" i="61"/>
  <c r="I76" i="60"/>
  <c r="B11" i="37"/>
  <c r="F29" i="61"/>
  <c r="M29" i="61"/>
  <c r="P29" i="61"/>
  <c r="B21" i="22"/>
  <c r="F51" i="26"/>
  <c r="D62" i="26"/>
  <c r="D51" i="26"/>
  <c r="B11" i="22"/>
  <c r="B5" i="22"/>
  <c r="B20" i="22"/>
  <c r="G32" i="61"/>
  <c r="N32" i="61"/>
  <c r="Q32" i="61"/>
  <c r="F62" i="26"/>
  <c r="E62" i="26"/>
  <c r="E51" i="26"/>
  <c r="B62" i="26"/>
  <c r="B51" i="26"/>
  <c r="C62" i="26"/>
  <c r="C51" i="26"/>
  <c r="F45" i="60"/>
  <c r="F47" i="60"/>
  <c r="M11" i="60"/>
  <c r="F39" i="60"/>
  <c r="M23" i="60"/>
  <c r="G51" i="26"/>
  <c r="G62" i="26"/>
  <c r="F24" i="24"/>
  <c r="F38" i="60"/>
  <c r="E41" i="61"/>
  <c r="O41" i="61"/>
  <c r="N33" i="61"/>
  <c r="F43" i="60"/>
  <c r="F51" i="60"/>
  <c r="B4" i="28"/>
  <c r="F46" i="60"/>
  <c r="G66" i="26"/>
  <c r="H51" i="26"/>
  <c r="G41" i="60"/>
  <c r="F41" i="60"/>
  <c r="F43" i="47"/>
  <c r="F42" i="47"/>
  <c r="F49" i="47"/>
  <c r="F50" i="47"/>
  <c r="F42" i="60"/>
  <c r="M7" i="60"/>
  <c r="I14" i="48"/>
  <c r="I20" i="48"/>
  <c r="F54" i="60"/>
  <c r="M18" i="60"/>
  <c r="R41" i="61"/>
  <c r="H41" i="61"/>
  <c r="N37" i="61"/>
  <c r="H62" i="26"/>
  <c r="G52" i="60"/>
  <c r="F52" i="60"/>
  <c r="F53" i="60"/>
  <c r="F40" i="60"/>
  <c r="F49" i="60"/>
  <c r="M17" i="60"/>
  <c r="H43" i="47"/>
  <c r="H50" i="47"/>
  <c r="H49" i="47"/>
  <c r="H42" i="47"/>
  <c r="F50" i="60"/>
  <c r="F44" i="60"/>
  <c r="G33" i="61"/>
  <c r="Q33" i="61"/>
  <c r="F55" i="60"/>
  <c r="F48" i="60"/>
  <c r="M19" i="60"/>
  <c r="H66" i="26"/>
  <c r="F32" i="60"/>
  <c r="M14" i="60"/>
  <c r="G56" i="60"/>
  <c r="H56" i="60"/>
  <c r="I21" i="48"/>
  <c r="G43" i="47"/>
  <c r="R43" i="47"/>
  <c r="F21" i="60"/>
  <c r="G49" i="47"/>
  <c r="R49" i="47"/>
  <c r="F27" i="60"/>
  <c r="M12" i="60"/>
  <c r="G50" i="47"/>
  <c r="R50" i="47"/>
  <c r="F28" i="60"/>
  <c r="G42" i="47"/>
  <c r="R42" i="47"/>
  <c r="G37" i="61"/>
  <c r="Q37" i="61"/>
  <c r="F19" i="60"/>
  <c r="M8" i="60"/>
  <c r="R55" i="47"/>
  <c r="F26" i="60"/>
  <c r="F25" i="60"/>
  <c r="M10" i="60"/>
  <c r="M25" i="60"/>
  <c r="F30" i="60"/>
  <c r="F20" i="60"/>
  <c r="F24" i="60"/>
  <c r="M6" i="60"/>
  <c r="B3" i="28"/>
  <c r="F31" i="60"/>
  <c r="I22" i="48"/>
  <c r="I31" i="48"/>
  <c r="D12" i="28"/>
  <c r="C35" i="61"/>
  <c r="E26" i="67"/>
  <c r="E27" i="67"/>
  <c r="M16" i="60"/>
  <c r="M24" i="60"/>
  <c r="M26" i="60"/>
  <c r="H32" i="48"/>
  <c r="C39" i="61"/>
  <c r="D13" i="28"/>
  <c r="B12" i="28"/>
  <c r="M35" i="61"/>
  <c r="P35" i="61"/>
  <c r="F35" i="61"/>
  <c r="M39" i="61"/>
  <c r="P39" i="61"/>
  <c r="F39" i="61"/>
  <c r="I9" i="67"/>
  <c r="Q9" i="67"/>
  <c r="I8" i="67"/>
  <c r="I18" i="67"/>
  <c r="Q18" i="67"/>
  <c r="I20" i="67"/>
  <c r="Q20" i="67"/>
  <c r="I12" i="67"/>
  <c r="Q12" i="67"/>
  <c r="I7" i="67"/>
  <c r="I11" i="67"/>
  <c r="Q11" i="67"/>
  <c r="I10" i="67"/>
  <c r="Q10" i="67"/>
  <c r="E45" i="61"/>
  <c r="O25" i="60"/>
  <c r="G33" i="60"/>
  <c r="H33" i="60"/>
  <c r="D13" i="49"/>
  <c r="C40" i="61"/>
  <c r="Q8" i="67"/>
  <c r="I22" i="67"/>
  <c r="I25" i="67"/>
  <c r="O26" i="60"/>
  <c r="O45" i="61"/>
  <c r="H45" i="61"/>
  <c r="I33" i="60"/>
  <c r="D28" i="67"/>
  <c r="B49" i="61"/>
  <c r="M40" i="61"/>
  <c r="P40" i="61"/>
  <c r="F40" i="61"/>
  <c r="R45" i="61"/>
  <c r="O24" i="60"/>
  <c r="L46" i="61"/>
  <c r="E49" i="61"/>
  <c r="L49" i="61"/>
  <c r="N47" i="61"/>
  <c r="G47" i="61"/>
  <c r="H49" i="61"/>
  <c r="O49" i="61"/>
  <c r="R49" i="61"/>
  <c r="E48" i="61"/>
  <c r="E51" i="61"/>
  <c r="Q47" i="61"/>
  <c r="Q51" i="61"/>
  <c r="N51" i="61"/>
  <c r="G51" i="61"/>
  <c r="H51" i="61"/>
  <c r="H48" i="61"/>
  <c r="O48" i="61"/>
  <c r="F7" i="67"/>
  <c r="R48" i="61"/>
  <c r="R51" i="61"/>
  <c r="G61" i="61"/>
  <c r="O51" i="61"/>
  <c r="G56" i="61"/>
</calcChain>
</file>

<file path=xl/comments1.xml><?xml version="1.0" encoding="utf-8"?>
<comments xmlns="http://schemas.openxmlformats.org/spreadsheetml/2006/main">
  <authors>
    <author>CfansGopher</author>
  </authors>
  <commentList>
    <comment ref="N68" authorId="0">
      <text>
        <r>
          <rPr>
            <b/>
            <sz val="9"/>
            <color indexed="81"/>
            <rFont val="Tahoma"/>
            <family val="2"/>
          </rPr>
          <t>CfansGopher:</t>
        </r>
        <r>
          <rPr>
            <sz val="9"/>
            <color indexed="81"/>
            <rFont val="Tahoma"/>
            <family val="2"/>
          </rPr>
          <t xml:space="preserve">
Driven by Grass feeding ADG since weaning</t>
        </r>
      </text>
    </comment>
  </commentList>
</comments>
</file>

<file path=xl/comments2.xml><?xml version="1.0" encoding="utf-8"?>
<comments xmlns="http://schemas.openxmlformats.org/spreadsheetml/2006/main">
  <authors>
    <author>CfansGopher</author>
  </authors>
  <commentList>
    <comment ref="A25" authorId="0">
      <text>
        <r>
          <rPr>
            <b/>
            <sz val="9"/>
            <color indexed="81"/>
            <rFont val="Tahoma"/>
            <family val="2"/>
          </rPr>
          <t>CfansGopher:</t>
        </r>
        <r>
          <rPr>
            <sz val="9"/>
            <color indexed="81"/>
            <rFont val="Tahoma"/>
            <family val="2"/>
          </rPr>
          <t xml:space="preserve">
Cows, bulls, pre-wean and replacement</t>
        </r>
      </text>
    </comment>
  </commentList>
</comments>
</file>

<file path=xl/sharedStrings.xml><?xml version="1.0" encoding="utf-8"?>
<sst xmlns="http://schemas.openxmlformats.org/spreadsheetml/2006/main" count="2521" uniqueCount="1105">
  <si>
    <t>May</t>
  </si>
  <si>
    <t>June</t>
  </si>
  <si>
    <t>July</t>
  </si>
  <si>
    <t>Cows</t>
  </si>
  <si>
    <t>Bulls</t>
  </si>
  <si>
    <t>Replacement Heifers</t>
  </si>
  <si>
    <t>Sept</t>
  </si>
  <si>
    <t>Oct</t>
  </si>
  <si>
    <t>Nov</t>
  </si>
  <si>
    <t>Dec</t>
  </si>
  <si>
    <t>Jan</t>
  </si>
  <si>
    <t>Feb</t>
  </si>
  <si>
    <t>Mar</t>
  </si>
  <si>
    <t>Apr</t>
  </si>
  <si>
    <t>Aug</t>
  </si>
  <si>
    <t>Grazing Season</t>
  </si>
  <si>
    <t>Breeding</t>
  </si>
  <si>
    <t>Calving %</t>
  </si>
  <si>
    <t>Weaning %</t>
  </si>
  <si>
    <t>calves born</t>
  </si>
  <si>
    <t>males</t>
  </si>
  <si>
    <t>females</t>
  </si>
  <si>
    <t>calves weaned</t>
  </si>
  <si>
    <t>net to finish</t>
  </si>
  <si>
    <t>total</t>
  </si>
  <si>
    <t>pct exposed</t>
  </si>
  <si>
    <t>Steer calves</t>
  </si>
  <si>
    <t>Heifer calves</t>
  </si>
  <si>
    <t>Cumulative births</t>
  </si>
  <si>
    <t>First</t>
  </si>
  <si>
    <t>Second</t>
  </si>
  <si>
    <t>Third</t>
  </si>
  <si>
    <t>Total</t>
  </si>
  <si>
    <t>Deaths</t>
  </si>
  <si>
    <t>Cumulative deaths</t>
  </si>
  <si>
    <t xml:space="preserve"> </t>
  </si>
  <si>
    <t>Pre-weaning</t>
  </si>
  <si>
    <t>Post-weaning feeders</t>
  </si>
  <si>
    <t>Net post-weaning</t>
  </si>
  <si>
    <t>Feeders</t>
  </si>
  <si>
    <t>Replacement heifers</t>
  </si>
  <si>
    <t>Replacement  females%</t>
  </si>
  <si>
    <t>Drylot Feeding</t>
  </si>
  <si>
    <t>Feeder steers 1st cycle</t>
  </si>
  <si>
    <t>Feeder heifers 1st cycle</t>
  </si>
  <si>
    <t>Feeder steers 2nd cycle</t>
  </si>
  <si>
    <t>Feeder heifers 2nd cycle</t>
  </si>
  <si>
    <t>Feeder steers 3rd cycle</t>
  </si>
  <si>
    <t>Feeder heifers 3rd cycle</t>
  </si>
  <si>
    <t>Births by month</t>
  </si>
  <si>
    <t>Post-weaning replacements</t>
  </si>
  <si>
    <t>BW, lb</t>
  </si>
  <si>
    <t>BW, kg</t>
  </si>
  <si>
    <t>PG days</t>
  </si>
  <si>
    <t>Birth, lb</t>
  </si>
  <si>
    <t>Birth, kg</t>
  </si>
  <si>
    <t>Milk, lb</t>
  </si>
  <si>
    <t>Milk, kg</t>
  </si>
  <si>
    <t>Milk fat, %</t>
  </si>
  <si>
    <t>ADG, lb</t>
  </si>
  <si>
    <t>ADG, kg</t>
  </si>
  <si>
    <t>Drylot feeding</t>
  </si>
  <si>
    <t>Feeder steers, 1</t>
  </si>
  <si>
    <t>Feeder heifers, 1</t>
  </si>
  <si>
    <t>Feeder steers, 2</t>
  </si>
  <si>
    <t>Feeder heifers, 2</t>
  </si>
  <si>
    <t>Feeder steers, 3</t>
  </si>
  <si>
    <t>Feeder heifers, 3</t>
  </si>
  <si>
    <r>
      <t>NE</t>
    </r>
    <r>
      <rPr>
        <b/>
        <vertAlign val="subscript"/>
        <sz val="11"/>
        <color theme="1"/>
        <rFont val="Calibri"/>
        <family val="2"/>
        <scheme val="minor"/>
      </rPr>
      <t>m</t>
    </r>
  </si>
  <si>
    <r>
      <t>NE</t>
    </r>
    <r>
      <rPr>
        <b/>
        <vertAlign val="subscript"/>
        <sz val="11"/>
        <color theme="1"/>
        <rFont val="Calibri"/>
        <family val="2"/>
        <scheme val="minor"/>
      </rPr>
      <t>m</t>
    </r>
    <r>
      <rPr>
        <b/>
        <sz val="11"/>
        <color theme="1"/>
        <rFont val="Calibri"/>
        <family val="2"/>
        <scheme val="minor"/>
      </rPr>
      <t xml:space="preserve"> PG</t>
    </r>
  </si>
  <si>
    <r>
      <t>NE</t>
    </r>
    <r>
      <rPr>
        <b/>
        <vertAlign val="subscript"/>
        <sz val="11"/>
        <color theme="1"/>
        <rFont val="Calibri"/>
        <family val="2"/>
        <scheme val="minor"/>
      </rPr>
      <t>m</t>
    </r>
    <r>
      <rPr>
        <b/>
        <sz val="11"/>
        <color theme="1"/>
        <rFont val="Calibri"/>
        <family val="2"/>
        <scheme val="minor"/>
      </rPr>
      <t xml:space="preserve"> L</t>
    </r>
  </si>
  <si>
    <r>
      <t>NE</t>
    </r>
    <r>
      <rPr>
        <b/>
        <vertAlign val="subscript"/>
        <sz val="11"/>
        <rFont val="Calibri"/>
        <family val="2"/>
        <scheme val="minor"/>
      </rPr>
      <t>g</t>
    </r>
  </si>
  <si>
    <t>Calving Months</t>
  </si>
  <si>
    <t>3rd Tri PG</t>
  </si>
  <si>
    <t>Breeding months/lactating</t>
  </si>
  <si>
    <t>2nd Tri PG/lactating</t>
  </si>
  <si>
    <t>Hanging out</t>
  </si>
  <si>
    <t>Gaining weight before ready to join cow herd</t>
  </si>
  <si>
    <t>Eq A</t>
  </si>
  <si>
    <t>Eq D</t>
  </si>
  <si>
    <t>Eq E</t>
  </si>
  <si>
    <t>Eq C,4</t>
  </si>
  <si>
    <t>Eq C,1</t>
  </si>
  <si>
    <t>Eq C, 1</t>
  </si>
  <si>
    <t>Heifer calf</t>
  </si>
  <si>
    <t xml:space="preserve">Cow </t>
  </si>
  <si>
    <t xml:space="preserve">Bull </t>
  </si>
  <si>
    <t xml:space="preserve">Steer calf </t>
  </si>
  <si>
    <t>Energy Requirements</t>
  </si>
  <si>
    <t>subtotals</t>
  </si>
  <si>
    <t>mcal/day</t>
  </si>
  <si>
    <t>Forage Concentration</t>
  </si>
  <si>
    <t>Yield</t>
  </si>
  <si>
    <t>Feeder Steer 1</t>
  </si>
  <si>
    <t>Feeder Steer 2</t>
  </si>
  <si>
    <t>Feeder Steer 3</t>
  </si>
  <si>
    <t>Feeder Heifer 1</t>
  </si>
  <si>
    <t>Feeder Heifer 2</t>
  </si>
  <si>
    <t>Feeder Heifer 3</t>
  </si>
  <si>
    <t xml:space="preserve"> Adults forage</t>
  </si>
  <si>
    <t>Forage Amount per 1 animal</t>
  </si>
  <si>
    <t>DM/Acre</t>
  </si>
  <si>
    <t>Acres</t>
  </si>
  <si>
    <t>kg/day</t>
  </si>
  <si>
    <t>kg/month</t>
  </si>
  <si>
    <t>DMI</t>
  </si>
  <si>
    <t>%BW</t>
  </si>
  <si>
    <t>% BW</t>
  </si>
  <si>
    <t>kg/acre</t>
  </si>
  <si>
    <t>Energy Needs and Growth</t>
  </si>
  <si>
    <t>Total Feed Needs</t>
  </si>
  <si>
    <t>Forage Requirements for Population</t>
  </si>
  <si>
    <t>Bull</t>
  </si>
  <si>
    <t>Pre-weaning heifers (Heifer Calf)</t>
  </si>
  <si>
    <t>BW m</t>
  </si>
  <si>
    <t>BW .75</t>
  </si>
  <si>
    <t>BW m Mcal/d</t>
  </si>
  <si>
    <t>Milk yield</t>
  </si>
  <si>
    <t>Milk Nem Mcal</t>
  </si>
  <si>
    <t>Nem deficit fr milk</t>
  </si>
  <si>
    <t>Pre-weaning steers (Steer Calf) *assuming Nem from milk</t>
  </si>
  <si>
    <t>lb/day</t>
  </si>
  <si>
    <t>Calculations for Nem required from forage intake for calves:</t>
  </si>
  <si>
    <t>Steers:</t>
  </si>
  <si>
    <t>Heifers:</t>
  </si>
  <si>
    <t>Milk Nem*</t>
  </si>
  <si>
    <t>*Milk Nem from US/Canadian tables of feed composition, 1982</t>
  </si>
  <si>
    <t>Female Replacements</t>
  </si>
  <si>
    <t>Yield Calculations</t>
  </si>
  <si>
    <t>Clover/Grass</t>
  </si>
  <si>
    <t>*Based on growth curve for cool season dominated grass from NRCS Pasture growth curves</t>
  </si>
  <si>
    <t>** Yields averaged from NRCS forage suitability guide for clover/grass</t>
  </si>
  <si>
    <t>Yield (ton/ha)</t>
  </si>
  <si>
    <t>Yield (mton/ha)</t>
  </si>
  <si>
    <t>Yield (kg/ha)</t>
  </si>
  <si>
    <t>Yield (kg/acre)</t>
  </si>
  <si>
    <t>% available*</t>
  </si>
  <si>
    <t>Yield (ton/acre)**</t>
  </si>
  <si>
    <t>Total***</t>
  </si>
  <si>
    <t>Population numbers from "Calender"</t>
  </si>
  <si>
    <t>NEM from "Energy --&gt; forage amount per 1 animal"</t>
  </si>
  <si>
    <r>
      <t>*all NE</t>
    </r>
    <r>
      <rPr>
        <i/>
        <vertAlign val="subscript"/>
        <sz val="10"/>
        <color theme="1"/>
        <rFont val="Calibri"/>
        <family val="2"/>
        <scheme val="minor"/>
      </rPr>
      <t>X</t>
    </r>
    <r>
      <rPr>
        <i/>
        <sz val="10"/>
        <color theme="1"/>
        <rFont val="Calibri"/>
        <family val="2"/>
        <scheme val="minor"/>
      </rPr>
      <t xml:space="preserve"> in mcal/day</t>
    </r>
  </si>
  <si>
    <t>TDN</t>
  </si>
  <si>
    <t>kg/day/acre</t>
  </si>
  <si>
    <t>Forage Type: Red Clover</t>
  </si>
  <si>
    <t>Adults Forage</t>
  </si>
  <si>
    <t>Growing Forage</t>
  </si>
  <si>
    <t>hay, sun-cured</t>
  </si>
  <si>
    <t>fresh, early vegetative</t>
  </si>
  <si>
    <t>mcal/kg</t>
  </si>
  <si>
    <t>Forage Type: Clover/Grass</t>
  </si>
  <si>
    <t>*Weighted average of Red Clover values and Brome values assuming stands 1/3 legume 2/3 grass</t>
  </si>
  <si>
    <t>*Values from NRC US Canadian Table of Feed Composition 1982</t>
  </si>
  <si>
    <t>*** input yield for high management pastures</t>
  </si>
  <si>
    <t>Cows Codes</t>
  </si>
  <si>
    <t>Bull Codes</t>
  </si>
  <si>
    <t>Pre-weaning, Steer</t>
  </si>
  <si>
    <t>Pre-weaning, Heifer</t>
  </si>
  <si>
    <t>Calf Codes</t>
  </si>
  <si>
    <t>gaining weight, steer</t>
  </si>
  <si>
    <t>gaining weight, heifer</t>
  </si>
  <si>
    <t>Feeder Codes</t>
  </si>
  <si>
    <t>Yield avail for grazing</t>
  </si>
  <si>
    <t>kg/acre/month</t>
  </si>
  <si>
    <t>Acres Needed/month*</t>
  </si>
  <si>
    <t>Hay harvested</t>
  </si>
  <si>
    <t>Hay Demand</t>
  </si>
  <si>
    <t>Hay Supply (graze and hayed)</t>
  </si>
  <si>
    <t>Additional Hay needed</t>
  </si>
  <si>
    <t>*Oct Excepetion</t>
  </si>
  <si>
    <t>*given that pasture harvested on June 1, July 1 and Sept 1</t>
  </si>
  <si>
    <t>Additional Acres for Hay</t>
  </si>
  <si>
    <t>Acres Total</t>
  </si>
  <si>
    <t>kg/yr</t>
  </si>
  <si>
    <t>acres</t>
  </si>
  <si>
    <t>SBRR herd biomass/day</t>
  </si>
  <si>
    <t>AVG biomass/day</t>
  </si>
  <si>
    <t>kg/day/ha</t>
  </si>
  <si>
    <t>SWAT: Grazing</t>
  </si>
  <si>
    <t>Herd Biomass eaten/day</t>
  </si>
  <si>
    <t>Forage Type: Orchardgrass</t>
  </si>
  <si>
    <t>Crude Protein</t>
  </si>
  <si>
    <t>Ash</t>
  </si>
  <si>
    <t>Phosphorus</t>
  </si>
  <si>
    <t>lbs</t>
  </si>
  <si>
    <t>kg</t>
  </si>
  <si>
    <t>Total Feeders</t>
  </si>
  <si>
    <t>Feeder Males</t>
  </si>
  <si>
    <t>Feeder Females</t>
  </si>
  <si>
    <t>Grazing</t>
  </si>
  <si>
    <t>Finishing Weight</t>
  </si>
  <si>
    <t>hay, sun-cured, early bloom</t>
  </si>
  <si>
    <t>August</t>
  </si>
  <si>
    <t>April</t>
  </si>
  <si>
    <t>ADG</t>
  </si>
  <si>
    <t>2/31/2011</t>
  </si>
  <si>
    <t>weight</t>
  </si>
  <si>
    <t>Calf</t>
  </si>
  <si>
    <t>Weaning Weight</t>
  </si>
  <si>
    <t>Calf Born</t>
  </si>
  <si>
    <t>Average Weight per month</t>
  </si>
  <si>
    <t>*Weights are for 15th of that month and represent the average weight for that month</t>
  </si>
  <si>
    <t>Steers</t>
  </si>
  <si>
    <t>Heifers</t>
  </si>
  <si>
    <t>Date</t>
  </si>
  <si>
    <t>Weight</t>
  </si>
  <si>
    <t>avg weight/month</t>
  </si>
  <si>
    <t>Input for energy sheet</t>
  </si>
  <si>
    <t>Mid month weight</t>
  </si>
  <si>
    <t>30 Feb</t>
  </si>
  <si>
    <t>*Pregnancy days assuming all calves born on April 15</t>
  </si>
  <si>
    <t>*milk production assuming all calves born on April 15; Arpil values for 1 week post partum, May values start for 4 weeks post part</t>
  </si>
  <si>
    <t>Finishing weight</t>
  </si>
  <si>
    <t>*Pregnancy Nem based on all cows birthing on April 15</t>
  </si>
  <si>
    <t>*Nested function, if additional acres for hay is (-) returns Oct exception #</t>
  </si>
  <si>
    <t>*Include July values when testing for certain weight gain senstivities</t>
  </si>
  <si>
    <t>*Need July in order to get to 1100 pounds, the min finish weight</t>
  </si>
  <si>
    <t>Cow-Calf</t>
  </si>
  <si>
    <t>DE</t>
  </si>
  <si>
    <t>ME</t>
  </si>
  <si>
    <t>Nem</t>
  </si>
  <si>
    <t>Neg</t>
  </si>
  <si>
    <t>Diet type:</t>
  </si>
  <si>
    <t>Growing-finishing diet (includes pre-weaning)</t>
  </si>
  <si>
    <t>Backgrounding</t>
  </si>
  <si>
    <t>Finishing</t>
  </si>
  <si>
    <t xml:space="preserve">Summer Grazing </t>
  </si>
  <si>
    <t>Winter Drylot</t>
  </si>
  <si>
    <t>Cow-calf needs</t>
  </si>
  <si>
    <t>Backgrounding diet</t>
  </si>
  <si>
    <t>Corn silage</t>
  </si>
  <si>
    <t>Supplement</t>
  </si>
  <si>
    <t>Finishing diet</t>
  </si>
  <si>
    <t>Corn grain, rolled</t>
  </si>
  <si>
    <t>Distillers grains</t>
  </si>
  <si>
    <t>Hay</t>
  </si>
  <si>
    <t>% DM</t>
  </si>
  <si>
    <t>Other</t>
  </si>
  <si>
    <t>Growing-Finishing needs</t>
  </si>
  <si>
    <t>Cow-calf and replacement needs only</t>
  </si>
  <si>
    <t>Growing-Finishing needs only</t>
  </si>
  <si>
    <t>kg DM/cycle</t>
  </si>
  <si>
    <t>Ethanol yield</t>
  </si>
  <si>
    <t>DGS yield</t>
  </si>
  <si>
    <t>Gal</t>
  </si>
  <si>
    <t>lb</t>
  </si>
  <si>
    <t>Ethanol price</t>
  </si>
  <si>
    <t>DGS price</t>
  </si>
  <si>
    <t>Gross per bu</t>
  </si>
  <si>
    <t>Corn acres</t>
  </si>
  <si>
    <t>Hay acres</t>
  </si>
  <si>
    <t>DM</t>
  </si>
  <si>
    <t>DGS % of total gross</t>
  </si>
  <si>
    <t>Bioenergy page USDA NW_GR111, 7/29/11</t>
  </si>
  <si>
    <t>bu or ton DM/acre</t>
  </si>
  <si>
    <t>corn screening</t>
  </si>
  <si>
    <t>corn DGS</t>
  </si>
  <si>
    <t>Forage Requirements for Finishers</t>
  </si>
  <si>
    <t>Background</t>
  </si>
  <si>
    <t>Stage</t>
  </si>
  <si>
    <t>Feedlot Finish</t>
  </si>
  <si>
    <t>Neg*</t>
  </si>
  <si>
    <t>*Change in Neg equation from backgrounding to finishing</t>
  </si>
  <si>
    <t>Ingredient DM</t>
  </si>
  <si>
    <t>Yield/acre as-is</t>
  </si>
  <si>
    <t>*Yield as is for corn assuming a 15.5% moisture content</t>
  </si>
  <si>
    <t>*Yield as is for silage assuming a 66% moisture content</t>
  </si>
  <si>
    <t>Hay total</t>
  </si>
  <si>
    <t>Corn Total</t>
  </si>
  <si>
    <t>USDA. 2008. Dairy 2007, Part II: Changes in the U.S. Dairy Cattle Industry, 1991–2007 USDA-APHIS-VS, CEAH. Fort Collins, CO #N481.0308</t>
  </si>
  <si>
    <t>Milking Cows</t>
  </si>
  <si>
    <t>Calves to sell (males)</t>
  </si>
  <si>
    <t>Dry cows for slaughter</t>
  </si>
  <si>
    <t># Farms</t>
  </si>
  <si>
    <t>2-4</t>
  </si>
  <si>
    <t>First-calf heifers</t>
  </si>
  <si>
    <t>Total Herd Size</t>
  </si>
  <si>
    <t>Calculation</t>
  </si>
  <si>
    <t>Enter data here</t>
  </si>
  <si>
    <t>Lactating Cow</t>
  </si>
  <si>
    <t>Absorbable phopshorus (g/day)</t>
  </si>
  <si>
    <t>Dietary P %</t>
  </si>
  <si>
    <t>Corn silage, normal</t>
  </si>
  <si>
    <t>Recommended Energy (Mcal/day)</t>
  </si>
  <si>
    <t>Dry matter intake  (kg/day)</t>
  </si>
  <si>
    <t>Wheat straw</t>
  </si>
  <si>
    <t>Calcium carbonate</t>
  </si>
  <si>
    <t xml:space="preserve">Total Replacement Heifers </t>
  </si>
  <si>
    <t>(kg/day)</t>
  </si>
  <si>
    <t>Dry matter intake  (lbs/day)</t>
  </si>
  <si>
    <t>Crude Protein (%)</t>
  </si>
  <si>
    <t>Weight (lb)</t>
  </si>
  <si>
    <t>Milk Produced (lb/day)</t>
  </si>
  <si>
    <t>Protein in milk (%)</t>
  </si>
  <si>
    <t>Recommended Energy (NE-Mcal/lb)</t>
  </si>
  <si>
    <t>Wheat Straw</t>
  </si>
  <si>
    <t>Young calf</t>
  </si>
  <si>
    <t>Calf (0-2 mo)</t>
  </si>
  <si>
    <t>Calving Interval</t>
  </si>
  <si>
    <t>Age at First Calving (month)</t>
  </si>
  <si>
    <t>Age (mo.)</t>
  </si>
  <si>
    <t>Replacement Heifer (6-15 mo)</t>
  </si>
  <si>
    <t>Replacement Heifer (3-6 mo)</t>
  </si>
  <si>
    <t>Dry Cow</t>
  </si>
  <si>
    <t xml:space="preserve">Days Pregnant </t>
  </si>
  <si>
    <t>Days in Milk</t>
  </si>
  <si>
    <t>Milk Replacer-18 CP 20 FAT</t>
  </si>
  <si>
    <t>Sample Diet (Ingredients listed as lb/day DM.)</t>
  </si>
  <si>
    <t>Molasses, Sugarcane</t>
  </si>
  <si>
    <t>Corn Grain, cracked, dry</t>
  </si>
  <si>
    <t>Oats, Grain, rolled</t>
  </si>
  <si>
    <t>Soybean, Meal, solv. 48% CP</t>
  </si>
  <si>
    <t>Calcium Phosphate (Di-)</t>
  </si>
  <si>
    <t>Grass Hay, C-3, mid-mat.</t>
  </si>
  <si>
    <t>Corn Grain, ground, dry</t>
  </si>
  <si>
    <t>Soybean, Hulls</t>
  </si>
  <si>
    <t>Limestone</t>
  </si>
  <si>
    <t>Salt</t>
  </si>
  <si>
    <t>Legume Forage Hay, mid-mat.</t>
  </si>
  <si>
    <t>Soybean, Seeds, whole heated</t>
  </si>
  <si>
    <t>Corn Dry Distiller Grain + Sol</t>
  </si>
  <si>
    <t>Cotton  seed, Whole w/ Lint</t>
  </si>
  <si>
    <t>Molasses, Sugar Beet</t>
  </si>
  <si>
    <t>P (%DM)</t>
  </si>
  <si>
    <t>CP (%DM)</t>
  </si>
  <si>
    <t>Dietary K %</t>
  </si>
  <si>
    <t>K (%DM)</t>
  </si>
  <si>
    <t>Vitamin premix 1</t>
  </si>
  <si>
    <t>Vitamin Premix 1</t>
  </si>
  <si>
    <t>Molasses, Sugarbeet</t>
  </si>
  <si>
    <t>P requirement (NRC, 2001)</t>
  </si>
  <si>
    <t>K requirement (NRC, 2001)</t>
  </si>
  <si>
    <t>CP requirement (NRC, 2001)</t>
  </si>
  <si>
    <t>15-21%</t>
  </si>
  <si>
    <t>Phase</t>
  </si>
  <si>
    <t>Herd Size</t>
  </si>
  <si>
    <t xml:space="preserve">Body Weight  </t>
  </si>
  <si>
    <t>Manure</t>
  </si>
  <si>
    <t>Dairy:  Lactating Cows</t>
  </si>
  <si>
    <t>lbs/animal-day</t>
  </si>
  <si>
    <r>
      <t>ft</t>
    </r>
    <r>
      <rPr>
        <vertAlign val="superscript"/>
        <sz val="11"/>
        <color theme="1"/>
        <rFont val="Calibri"/>
        <family val="2"/>
        <scheme val="minor"/>
      </rPr>
      <t>3</t>
    </r>
    <r>
      <rPr>
        <sz val="11"/>
        <color theme="1"/>
        <rFont val="Calibri"/>
        <family val="2"/>
        <scheme val="minor"/>
      </rPr>
      <t>/animal-day</t>
    </r>
  </si>
  <si>
    <t>Lactating (32-40 mo)</t>
  </si>
  <si>
    <t>Dairy:  Dry Cows</t>
  </si>
  <si>
    <t>Dry w/conceptus</t>
  </si>
  <si>
    <t>Dairy:  Heifers</t>
  </si>
  <si>
    <t>Replacement (6-15 mo.)</t>
  </si>
  <si>
    <t>Calf (0-2 mo.)</t>
  </si>
  <si>
    <t>Replacement (3-6 mo.)</t>
  </si>
  <si>
    <t>lbs/year</t>
  </si>
  <si>
    <t>Fertilizer Application Rate</t>
  </si>
  <si>
    <t>Manure Application Rate</t>
  </si>
  <si>
    <t>lbs P/acre</t>
  </si>
  <si>
    <t>Uptake by Crop</t>
  </si>
  <si>
    <t>tons</t>
  </si>
  <si>
    <t>bu</t>
  </si>
  <si>
    <t>Annual Composite  (lbs/year)</t>
  </si>
  <si>
    <t>Annual Herd Consumption</t>
  </si>
  <si>
    <t>Annual Phosphorus Excreted</t>
  </si>
  <si>
    <t>Annual Manure Production</t>
  </si>
  <si>
    <t>lbs per herd</t>
  </si>
  <si>
    <t>Manure Production</t>
  </si>
  <si>
    <t>Cropland with Applied Fertilizer</t>
  </si>
  <si>
    <t>Cropland with Applied Manure</t>
  </si>
  <si>
    <t>Corn</t>
  </si>
  <si>
    <t>Oats</t>
  </si>
  <si>
    <t>Average %P</t>
  </si>
  <si>
    <t>P Sources</t>
  </si>
  <si>
    <t>9.9-12.4%</t>
  </si>
  <si>
    <t>0.32-0.42%</t>
  </si>
  <si>
    <t>0.30-0.34%</t>
  </si>
  <si>
    <t>0.40-0.70%</t>
  </si>
  <si>
    <t>14.1-17.9%</t>
  </si>
  <si>
    <t>10.6-14.1%</t>
  </si>
  <si>
    <t>0.22-0.26%</t>
  </si>
  <si>
    <t>Weight (kg)</t>
  </si>
  <si>
    <t>14-18%</t>
  </si>
  <si>
    <t>P Efficiency</t>
  </si>
  <si>
    <t>Dry Cows &amp; Male Calves for Slaughter</t>
  </si>
  <si>
    <t>Annual Herd P Consumption</t>
  </si>
  <si>
    <t>Balance Error</t>
  </si>
  <si>
    <t>Total Breeding Sows</t>
  </si>
  <si>
    <t>Sows</t>
  </si>
  <si>
    <t>Gilts</t>
  </si>
  <si>
    <t>Total Slaughter</t>
  </si>
  <si>
    <t>&gt;4</t>
  </si>
  <si>
    <t>Culled Sows</t>
  </si>
  <si>
    <t>Nursery</t>
  </si>
  <si>
    <t>Pre-Wean Death</t>
  </si>
  <si>
    <t>Post-Wean Mortality (with Sow/Gilt)</t>
  </si>
  <si>
    <t>Growing</t>
  </si>
  <si>
    <t>Gilt</t>
  </si>
  <si>
    <t>Sow-Lactating</t>
  </si>
  <si>
    <t>1-2 mo.</t>
  </si>
  <si>
    <t>Birthing Interval</t>
  </si>
  <si>
    <t>6 mo.</t>
  </si>
  <si>
    <t xml:space="preserve">6 mo. </t>
  </si>
  <si>
    <t>11 mo.</t>
  </si>
  <si>
    <t>15-30</t>
  </si>
  <si>
    <t>33-66</t>
  </si>
  <si>
    <t>0-1 mo.</t>
  </si>
  <si>
    <t>2-4 mo.</t>
  </si>
  <si>
    <t xml:space="preserve">4-6 mo. </t>
  </si>
  <si>
    <t>30-50</t>
  </si>
  <si>
    <t>66-110</t>
  </si>
  <si>
    <t>50-110</t>
  </si>
  <si>
    <t>Dry matter intake  (g/day)</t>
  </si>
  <si>
    <t>P,total, requirement (%)</t>
  </si>
  <si>
    <t>Sow-Gestating</t>
  </si>
  <si>
    <t>Lysine</t>
  </si>
  <si>
    <t>P, available, requirement (NRC, 1998)</t>
  </si>
  <si>
    <t>K requirement (NRC, 1998)</t>
  </si>
  <si>
    <t>CP requirement (NRC, 1998)</t>
  </si>
  <si>
    <t>Calcium Carbonate</t>
  </si>
  <si>
    <t>DE content of diet (kcal/kg)</t>
  </si>
  <si>
    <t>Oats, Groat</t>
  </si>
  <si>
    <t>Boar</t>
  </si>
  <si>
    <t>Lysine (% CP)</t>
  </si>
  <si>
    <t>110-242</t>
  </si>
  <si>
    <t>Whey</t>
  </si>
  <si>
    <t>Lysine (% total)</t>
  </si>
  <si>
    <t>Fish Meal</t>
  </si>
  <si>
    <t>Choice white grease</t>
  </si>
  <si>
    <t>Fish meal</t>
  </si>
  <si>
    <t>Fish meal, Menhaden</t>
  </si>
  <si>
    <t>Vitamins</t>
  </si>
  <si>
    <t>Dietary Lysine (Total Basis as %)</t>
  </si>
  <si>
    <t>Lysine requirement (Total Basis as %)</t>
  </si>
  <si>
    <t>Recommended Energy (NE-Mcal/lB)</t>
  </si>
  <si>
    <t>Lysine Supplement</t>
  </si>
  <si>
    <t>Annual Composite  (g/year)</t>
  </si>
  <si>
    <t>Weight (lbs)</t>
  </si>
  <si>
    <t>Pre-Wean</t>
  </si>
  <si>
    <t>3-4</t>
  </si>
  <si>
    <t>4.5-15</t>
  </si>
  <si>
    <t>10-33</t>
  </si>
  <si>
    <t>0-19 days</t>
  </si>
  <si>
    <t>Sample Diet (Ingredients listed as g/day DM.)</t>
  </si>
  <si>
    <r>
      <t xml:space="preserve">Sow milk </t>
    </r>
    <r>
      <rPr>
        <i/>
        <sz val="11"/>
        <color theme="1"/>
        <rFont val="Calibri"/>
        <family val="2"/>
        <scheme val="minor"/>
      </rPr>
      <t>(total weight - not DM)</t>
    </r>
  </si>
  <si>
    <t>242-285</t>
  </si>
  <si>
    <t>Phytase</t>
  </si>
  <si>
    <t>Feed intake  (g/day)</t>
  </si>
  <si>
    <t xml:space="preserve">Total milk consumption (g) </t>
  </si>
  <si>
    <t>(lbs/day)</t>
  </si>
  <si>
    <t>Xu, G., M.H. Whitney, and G.C. Shurson. 2006. Effects of feeding diets containing corn distillers dried grains with solubles (DDGS), with or without phytase, on nutrient digestibility and excretion in grow-finish pigs. J. Anim. Sci. 84 (Suppl. 2):92.</t>
  </si>
  <si>
    <t>Swine: Nursery</t>
  </si>
  <si>
    <t>Duration</t>
  </si>
  <si>
    <t>days</t>
  </si>
  <si>
    <t>Gestating Sows/ Boar</t>
  </si>
  <si>
    <t>Total Solids</t>
  </si>
  <si>
    <t>Volatile Solids</t>
  </si>
  <si>
    <t>Swine: Sows*</t>
  </si>
  <si>
    <r>
      <t>Swine: Gilts for Reproductive Herd</t>
    </r>
    <r>
      <rPr>
        <b/>
        <vertAlign val="superscript"/>
        <sz val="11"/>
        <color theme="1"/>
        <rFont val="Calibri"/>
        <family val="2"/>
        <scheme val="minor"/>
      </rPr>
      <t>2</t>
    </r>
  </si>
  <si>
    <r>
      <rPr>
        <i/>
        <vertAlign val="superscript"/>
        <sz val="11"/>
        <color theme="1"/>
        <rFont val="Calibri"/>
        <family val="2"/>
        <scheme val="minor"/>
      </rPr>
      <t>2</t>
    </r>
    <r>
      <rPr>
        <i/>
        <sz val="11"/>
        <color theme="1"/>
        <rFont val="Calibri"/>
        <family val="2"/>
        <scheme val="minor"/>
      </rPr>
      <t xml:space="preserve">Herd maintains this number throughout year. </t>
    </r>
  </si>
  <si>
    <r>
      <t xml:space="preserve">Swine: Grow-Finish </t>
    </r>
    <r>
      <rPr>
        <b/>
        <vertAlign val="superscript"/>
        <sz val="11"/>
        <color theme="1"/>
        <rFont val="Calibri"/>
        <family val="2"/>
        <scheme val="minor"/>
      </rPr>
      <t>1</t>
    </r>
  </si>
  <si>
    <t>Neonate</t>
  </si>
  <si>
    <t>Wean</t>
  </si>
  <si>
    <t>Hog %P Composition</t>
  </si>
  <si>
    <t>Pork Produced</t>
  </si>
  <si>
    <t>Lactating Sows + Litter</t>
  </si>
  <si>
    <t xml:space="preserve">Calves weaned </t>
  </si>
  <si>
    <t>Dairy Steers</t>
  </si>
  <si>
    <t>Dry Cows at a given time</t>
  </si>
  <si>
    <t>Mortality Stillborn/Pre-weaning</t>
  </si>
  <si>
    <t>Mortality Post-weaning</t>
  </si>
  <si>
    <t>Culled Beef Heifers</t>
  </si>
  <si>
    <t>Deaths (Feeders and Cows)</t>
  </si>
  <si>
    <t xml:space="preserve">*birth weight from Table 3, Casas, E.; Birth and weaning traints in crossbred cattle; 2011 </t>
  </si>
  <si>
    <t>ADG Land O'Lakes Beef Links, 2011; http://www.beeflinks.com/Closeouts%202011.htm</t>
  </si>
  <si>
    <t>Averaged the Heifer &amp; Steer ADG.</t>
  </si>
  <si>
    <t>Red Clover/Orchard Grass</t>
  </si>
  <si>
    <t>Sun-Cured</t>
  </si>
  <si>
    <t>Fresh</t>
  </si>
  <si>
    <t>Days/Mo</t>
  </si>
  <si>
    <t>DMI/mo</t>
  </si>
  <si>
    <t>Forage (hay)</t>
  </si>
  <si>
    <t>Forage (graze)</t>
  </si>
  <si>
    <t>Annual (Hay)</t>
  </si>
  <si>
    <t>Annual (Graze)</t>
  </si>
  <si>
    <t>Sample Diet (Ingredients listed as kg/year DM.)</t>
  </si>
  <si>
    <t>Crude Protein (kg/day)</t>
  </si>
  <si>
    <t>Annual Composite  (kg/year)</t>
  </si>
  <si>
    <t>Cow Milk</t>
  </si>
  <si>
    <r>
      <t xml:space="preserve">Cow Milk </t>
    </r>
    <r>
      <rPr>
        <i/>
        <sz val="11"/>
        <color theme="1"/>
        <rFont val="Calibri"/>
        <family val="2"/>
        <scheme val="minor"/>
      </rPr>
      <t>(*wet weight)</t>
    </r>
  </si>
  <si>
    <t>Beef:  Non-Feeder</t>
  </si>
  <si>
    <t>Steer Background</t>
  </si>
  <si>
    <t>Steer Finishing</t>
  </si>
  <si>
    <t>Heifer Background</t>
  </si>
  <si>
    <t>Heifer Finishing</t>
  </si>
  <si>
    <t>Steer Calves</t>
  </si>
  <si>
    <t>Heifer Calves</t>
  </si>
  <si>
    <t xml:space="preserve">Exit Body Weight  </t>
  </si>
  <si>
    <t>Number of Days</t>
  </si>
  <si>
    <t>Beef: Steer Feeders</t>
  </si>
  <si>
    <t>Beef: Heifer Feeders</t>
  </si>
  <si>
    <t>w/out Cow Milk</t>
  </si>
  <si>
    <t>Dairy Beef Calves</t>
  </si>
  <si>
    <t>NEm</t>
  </si>
  <si>
    <t>NEg</t>
  </si>
  <si>
    <t>Drylot</t>
  </si>
  <si>
    <t>Grassfed Steer 3</t>
  </si>
  <si>
    <t>Grassfed Steer 2</t>
  </si>
  <si>
    <t>Grassfed Steer 1</t>
  </si>
  <si>
    <t>Grassfed Heifer 3</t>
  </si>
  <si>
    <t>Grassfed Heifer 2</t>
  </si>
  <si>
    <t>Grassfed Heifer 1</t>
  </si>
  <si>
    <t>Annual Consumption</t>
  </si>
  <si>
    <t>Grassfed Males</t>
  </si>
  <si>
    <t>Grassfed Females</t>
  </si>
  <si>
    <t>Export</t>
  </si>
  <si>
    <t>Pork Meat</t>
  </si>
  <si>
    <t>Pork Rendered</t>
  </si>
  <si>
    <t>Pork Composted Offsite</t>
  </si>
  <si>
    <t>Pork Manure</t>
  </si>
  <si>
    <t>Pork Feed</t>
  </si>
  <si>
    <t>Piglets</t>
  </si>
  <si>
    <t>Dairy Milk</t>
  </si>
  <si>
    <t>Dairy Manure</t>
  </si>
  <si>
    <t>Dairy Feed</t>
  </si>
  <si>
    <t>Beef Meat</t>
  </si>
  <si>
    <t>Beef Manure</t>
  </si>
  <si>
    <t>Beef Feed</t>
  </si>
  <si>
    <t>Crop P Exported (Crop P produced - feed P)</t>
  </si>
  <si>
    <t>Fertilizer Import (Total P to crops - manure P)</t>
  </si>
  <si>
    <t>Crop Input (manure + fertilizer)</t>
  </si>
  <si>
    <t>Crop P production</t>
  </si>
  <si>
    <t>Total (lb)</t>
  </si>
  <si>
    <t>Export/Import</t>
  </si>
  <si>
    <t>Total Manure Applied</t>
  </si>
  <si>
    <t>NASS, 2011</t>
  </si>
  <si>
    <t>Hens required</t>
  </si>
  <si>
    <t>17 to slaughter</t>
  </si>
  <si>
    <t>SBM 47%</t>
  </si>
  <si>
    <t>Poultry blend (meat &amp; bone)</t>
  </si>
  <si>
    <t>Dicalcium phosphate</t>
  </si>
  <si>
    <t>Soybean Oil</t>
  </si>
  <si>
    <t>0-4 weeks</t>
  </si>
  <si>
    <t>Tom Starter</t>
  </si>
  <si>
    <t>Tom Grower</t>
  </si>
  <si>
    <t>Hen Starter</t>
  </si>
  <si>
    <t>Hen Grower</t>
  </si>
  <si>
    <t>Hen Finishing</t>
  </si>
  <si>
    <t>5 to 16 weeks</t>
  </si>
  <si>
    <t>Choice White Grease</t>
  </si>
  <si>
    <t>Nonphytate P requirement (NRC, 1994) (%)</t>
  </si>
  <si>
    <t>CP requirement (NRC, 1994) (%)</t>
  </si>
  <si>
    <t>CP requirement (NRC, 1994) (kg)</t>
  </si>
  <si>
    <t>Poultry Meal</t>
  </si>
  <si>
    <t>Toms</t>
  </si>
  <si>
    <t>Hens</t>
  </si>
  <si>
    <t>Sample Diet (Ingredients listed as % fed)</t>
  </si>
  <si>
    <t>Feed intake  (kg/week)</t>
  </si>
  <si>
    <t>Feed intake  (lbs/week)</t>
  </si>
  <si>
    <t>Feed intake  (kg/day)</t>
  </si>
  <si>
    <t>Feed intake  (lbs/day)</t>
  </si>
  <si>
    <t>Dry matter intake</t>
  </si>
  <si>
    <r>
      <t xml:space="preserve">5 to </t>
    </r>
    <r>
      <rPr>
        <b/>
        <sz val="11"/>
        <color theme="1"/>
        <rFont val="Calibri"/>
        <family val="2"/>
        <scheme val="minor"/>
      </rPr>
      <t xml:space="preserve">8 </t>
    </r>
    <r>
      <rPr>
        <sz val="11"/>
        <color theme="1"/>
        <rFont val="Calibri"/>
        <family val="2"/>
        <scheme val="minor"/>
      </rPr>
      <t>weeks</t>
    </r>
  </si>
  <si>
    <t>Mg</t>
  </si>
  <si>
    <t>Poults Hatched</t>
  </si>
  <si>
    <t>Replacement hens</t>
  </si>
  <si>
    <t>Young Turkey Mortality</t>
  </si>
  <si>
    <t>Toms required</t>
  </si>
  <si>
    <t>Marsden, Stanley J., 1971. Turkey Production. USDA. Washington DC. Ag Handbook #393</t>
  </si>
  <si>
    <t>Replacement toms</t>
  </si>
  <si>
    <t>USDA. 2011. Poultry 2010, Structure of the U.S. Poultry Industry. Fort Collins, CO #583.1211</t>
  </si>
  <si>
    <t xml:space="preserve">9-14 to slaughter </t>
  </si>
  <si>
    <t>32-60 weeks</t>
  </si>
  <si>
    <t>Dietary P (kg/year)</t>
  </si>
  <si>
    <t>Nonphytate P requirement (NRC, 1994) (kg/week)</t>
  </si>
  <si>
    <t>15-31 weeks</t>
  </si>
  <si>
    <t>Hens (Holding)</t>
  </si>
  <si>
    <t>Laying Hens</t>
  </si>
  <si>
    <t>Turkey Produced</t>
  </si>
  <si>
    <t>0-12 weeks</t>
  </si>
  <si>
    <t>Poult 1 week old</t>
  </si>
  <si>
    <t>0-15 weeks</t>
  </si>
  <si>
    <t>Hen</t>
  </si>
  <si>
    <t>Tom</t>
  </si>
  <si>
    <t>Um, J.S. and I.K. Paik. 1999. Effects of microbial phytase supplementation on egg production, eggshell quality, and mineral retention of laying hens fed different levels of phosphorus. Poultry Science. 78:75-79.</t>
  </si>
  <si>
    <t>Hen Layer</t>
  </si>
  <si>
    <t>Breeder Tom</t>
  </si>
  <si>
    <t xml:space="preserve">Dietary P % </t>
  </si>
  <si>
    <t>kg P/bird</t>
  </si>
  <si>
    <t>to early mortality</t>
  </si>
  <si>
    <t>grown to slaughter</t>
  </si>
  <si>
    <t>used as layer</t>
  </si>
  <si>
    <t>used for mating</t>
  </si>
  <si>
    <t xml:space="preserve">Toms  </t>
  </si>
  <si>
    <t xml:space="preserve">Hens  </t>
  </si>
  <si>
    <t>Hen mortality</t>
  </si>
  <si>
    <t>Tom mortality</t>
  </si>
  <si>
    <t>Adeyeye, E.I. 2009. Comparative study of the characteristics of egg shells of some bird species. Bull. Chem. Soc. Ethiop. 23(2) 159-166.</t>
  </si>
  <si>
    <t>Turkey mortalities</t>
  </si>
  <si>
    <t>Whole Egg</t>
  </si>
  <si>
    <t>Shell Only</t>
  </si>
  <si>
    <t>Penn, C.J., G.L. Mullins, L.W. Zelazny, J.G. Warren, and J.M. McGrath. 2004. Surface runoff losses of phosphorus from Virginia soils amended with turkey manure using phytase and high available phosphorus corn diets. J. Environ. Qual. 33:1431–1439.</t>
  </si>
  <si>
    <t>Young Chicken Mortality</t>
  </si>
  <si>
    <t>Chicks Hatched</t>
  </si>
  <si>
    <t>Cockeral</t>
  </si>
  <si>
    <t>Total Eggs Needed</t>
  </si>
  <si>
    <t>Starter</t>
  </si>
  <si>
    <t>Grower</t>
  </si>
  <si>
    <t>Withdrawal</t>
  </si>
  <si>
    <t>0-17 days</t>
  </si>
  <si>
    <t>17-33 days</t>
  </si>
  <si>
    <t>43-45 days</t>
  </si>
  <si>
    <t>33-43 days</t>
  </si>
  <si>
    <t>Dol. Limestone</t>
  </si>
  <si>
    <t>Chicken Produced</t>
  </si>
  <si>
    <t>Vieira and Moran, Jr., 1998. Broiler chicks hatched from egg weight extremes and diverse breeder strains. J. Appl. Poultry. Res. 7:392-402.</t>
  </si>
  <si>
    <t>Chick</t>
  </si>
  <si>
    <t>Broiler mortality (after starter)</t>
  </si>
  <si>
    <t>Broiler slaughter</t>
  </si>
  <si>
    <t>Chicken mortalities</t>
  </si>
  <si>
    <t>Eggs Input to Hatchery</t>
  </si>
  <si>
    <t>Turkey</t>
  </si>
  <si>
    <t>Corn Grain</t>
  </si>
  <si>
    <t>Soybean Meal</t>
  </si>
  <si>
    <t>Silage</t>
  </si>
  <si>
    <t>Poultry Blend</t>
  </si>
  <si>
    <t>Distillers Grains</t>
  </si>
  <si>
    <t>Milk Replacer</t>
  </si>
  <si>
    <t>Beef</t>
  </si>
  <si>
    <t xml:space="preserve">Legume </t>
  </si>
  <si>
    <t>Wheat</t>
  </si>
  <si>
    <t>Soybean Hulls/Seeds</t>
  </si>
  <si>
    <t>Cow Milk (*wet weight)</t>
  </si>
  <si>
    <t>Dairy</t>
  </si>
  <si>
    <t>Sow milk (total weight - not DM)</t>
  </si>
  <si>
    <t>Turkey Meat</t>
  </si>
  <si>
    <t>Turkey Disposal</t>
  </si>
  <si>
    <t>Turkey Manure</t>
  </si>
  <si>
    <t>Turkey Feed</t>
  </si>
  <si>
    <t>Poults</t>
  </si>
  <si>
    <t>Dairy Steer Calves</t>
  </si>
  <si>
    <t>Total (kg)</t>
  </si>
  <si>
    <t>Total (Mg)</t>
  </si>
  <si>
    <t xml:space="preserve">lbs </t>
  </si>
  <si>
    <t>lbs P</t>
  </si>
  <si>
    <t>Eggs Produced</t>
  </si>
  <si>
    <t>Pullets for Layer Replacement</t>
  </si>
  <si>
    <t>http://www.nass.usda.gov/Statistics_by_State/Minnesota/Publications/Annual_Statistical_Bulletin/2011/Whole%20Book.pdf</t>
  </si>
  <si>
    <t>Eggs per Layer</t>
  </si>
  <si>
    <t>USDA-NASS, 2011 Minnesota Agricultural Statistics, St. Paul, MN</t>
  </si>
  <si>
    <t>Breeding Hens required</t>
  </si>
  <si>
    <t>Cockerels required</t>
  </si>
  <si>
    <t>Cockerels/Roosters modeled to stay throughout production cycle. Modeled as initiating at 20 weeks begin same age through 40 weeks of production (slaughtered 60 weeks old).</t>
  </si>
  <si>
    <t xml:space="preserve">Dead Cockerels </t>
  </si>
  <si>
    <t>Dead Breeding Hens</t>
  </si>
  <si>
    <t>Total Layers/Year</t>
  </si>
  <si>
    <t>Culled Layers/Year</t>
  </si>
  <si>
    <t>Explanation and References:</t>
  </si>
  <si>
    <t>Total Pullets /Year</t>
  </si>
  <si>
    <t>Deceased Pullets/Year</t>
  </si>
  <si>
    <t>Deceased Layers/Year</t>
  </si>
  <si>
    <t>Egg Layer Flock: Leghorn-Type Chickens</t>
  </si>
  <si>
    <t>Breeding  Herd Requirements</t>
  </si>
  <si>
    <t>Breeder Hen</t>
  </si>
  <si>
    <t>Breeder Cockerel</t>
  </si>
  <si>
    <t>20-60 weeks</t>
  </si>
  <si>
    <t>25-65 weeks</t>
  </si>
  <si>
    <t>Pullet (Stage 1)</t>
  </si>
  <si>
    <t>6-11 weeks</t>
  </si>
  <si>
    <t>0-5 weeks</t>
  </si>
  <si>
    <t>Wheat Middlings</t>
  </si>
  <si>
    <t>Bakery By-Product (13%)</t>
  </si>
  <si>
    <t>18 weeks-egg</t>
  </si>
  <si>
    <t>20-83 weeks</t>
  </si>
  <si>
    <t>12-17 weeks</t>
  </si>
  <si>
    <t>Crude Protein (kg/year)</t>
  </si>
  <si>
    <t>CP requirement (NRC, 1994) (kg/week)</t>
  </si>
  <si>
    <t>Breeder Hen-Early Laying</t>
  </si>
  <si>
    <t>Early Laying, Growing Cockerel</t>
  </si>
  <si>
    <t>Pullet (Stage 3), Growing Hens &amp; Cockerels</t>
  </si>
  <si>
    <t>Pullet (Stage 2), Growing Hens &amp; Cockerels</t>
  </si>
  <si>
    <t>Pullet (Stage 1), Growing Hens &amp; Cockerels</t>
  </si>
  <si>
    <r>
      <t>Early Laying</t>
    </r>
    <r>
      <rPr>
        <vertAlign val="superscript"/>
        <sz val="11"/>
        <color theme="1"/>
        <rFont val="Calibri"/>
        <family val="2"/>
        <scheme val="minor"/>
      </rPr>
      <t>1,2</t>
    </r>
  </si>
  <si>
    <r>
      <rPr>
        <vertAlign val="superscript"/>
        <sz val="11"/>
        <color theme="1"/>
        <rFont val="Calibri"/>
        <family val="2"/>
        <scheme val="minor"/>
      </rPr>
      <t>2</t>
    </r>
    <r>
      <rPr>
        <sz val="11"/>
        <color theme="1"/>
        <rFont val="Calibri"/>
        <family val="2"/>
        <scheme val="minor"/>
      </rPr>
      <t>Also used as diet approximation for molting.</t>
    </r>
  </si>
  <si>
    <r>
      <rPr>
        <vertAlign val="superscript"/>
        <sz val="11"/>
        <color theme="1"/>
        <rFont val="Calibri"/>
        <family val="2"/>
        <scheme val="minor"/>
      </rPr>
      <t>3</t>
    </r>
    <r>
      <rPr>
        <sz val="11"/>
        <color theme="1"/>
        <rFont val="Calibri"/>
        <family val="2"/>
        <scheme val="minor"/>
      </rPr>
      <t>Layer total is multiplied by 0.81 because of the duration of feed interval.</t>
    </r>
  </si>
  <si>
    <t>Layers</t>
  </si>
  <si>
    <t>Breeding Hen (Laying)</t>
  </si>
  <si>
    <t>Breeding Hen (Early Laying)</t>
  </si>
  <si>
    <t>Cockerel</t>
  </si>
  <si>
    <t>Chicks (Stage 1)</t>
  </si>
  <si>
    <r>
      <t>Chicks (Stage 2)</t>
    </r>
    <r>
      <rPr>
        <vertAlign val="superscript"/>
        <sz val="11"/>
        <color theme="1"/>
        <rFont val="Calibri"/>
        <family val="2"/>
        <scheme val="minor"/>
      </rPr>
      <t>1</t>
    </r>
  </si>
  <si>
    <r>
      <t>Chicks (Stage 3)</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</si>
  <si>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Diets reflect incorporation of 300 units of phytase / kg diet supplement (-0.1% Dicalcium phosphate)</t>
    </r>
  </si>
  <si>
    <t>Leeson, S. and J.D. Summers. 1989. Performance of Leghorn pullets and laying hens in relation to hatching egg size. Can. J. Anim. Sci. 69:449-458.</t>
  </si>
  <si>
    <t>P Composition (%)</t>
  </si>
  <si>
    <t>Webster, A.B., D.L. Fletcher, and S.I. Savage. 1998. Feed withdrawal and leghorn hen carcass composition. J. Appl. Poultry Res. 7:253-257.</t>
  </si>
  <si>
    <t>lb P/bird</t>
  </si>
  <si>
    <t>Spent Layer slaughter</t>
  </si>
  <si>
    <t xml:space="preserve">Pullet mortality </t>
  </si>
  <si>
    <t>Rendered Chicken</t>
  </si>
  <si>
    <t>Processed Chicken</t>
  </si>
  <si>
    <t>Whole Egg Human Consumption</t>
  </si>
  <si>
    <r>
      <t>Number of Days</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</si>
  <si>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Layer total is listed as 364 for the equivalent of 1 year.</t>
    </r>
  </si>
  <si>
    <t>Hen/Cockerel Input to Breeder Hatchery</t>
  </si>
  <si>
    <t>Pullets Born</t>
  </si>
  <si>
    <t xml:space="preserve">Total Phosphorus Transfers </t>
  </si>
  <si>
    <t>Chicken Disposal</t>
  </si>
  <si>
    <t>Muir, F., O. Keene, and H. Jordan. 1983. Poultry Management Reference Manual. The Pennsylvania State University, University Park, Pennsylvania.</t>
  </si>
  <si>
    <t>A hen starts laying eggs at approximately 19 weeks of age.</t>
  </si>
  <si>
    <t>USDA. 2011. Poultry 2010 Structure of the U.S. Poultry Industry, 2010. NAHMS #583.1211. Fort Collins, CO.</t>
  </si>
  <si>
    <t>USDA. 2013. Chickens and Eggs: 2012 Summary. NASS ISSN: 1948-9056.</t>
  </si>
  <si>
    <t>Maguire, R.O., Z. Dou, J.T. Sims, J. Brake, and B. C. Joern . 2005. Dietary strategies for reduced phosphorus excretion and improved water quality. J. Environ. Qual. 34( 6) 2093-2103. doi:10.2134/jeq2004.0410</t>
  </si>
  <si>
    <t>By incorporating 300 units of phytase / kg diet supplement, dicalcium phosphate inclusion can be reduced by -0.1%.</t>
  </si>
  <si>
    <r>
      <t>Pullet feed ration based on B</t>
    </r>
    <r>
      <rPr>
        <i/>
        <sz val="11"/>
        <color theme="1"/>
        <rFont val="Calibri"/>
        <family val="2"/>
        <scheme val="minor"/>
      </rPr>
      <t>ell, D.D. and W.D. Weaver, Jr., (eds.) (2002) Commercial chicken meat and egg production. 5th edition.  Kluwer Academic Publishers, Norwell, Massechusetts.</t>
    </r>
  </si>
  <si>
    <t xml:space="preserve">Breeding herd requires approximately 1:10 male to female ratio. </t>
  </si>
  <si>
    <t>Bell, D.D. and W.D. Weaver, Jr., (eds.) (2002) Commercial chicken meat and egg production. 5th edition.  Kluwer Academic Publishers, Norwell, Massechusetts.</t>
  </si>
  <si>
    <t xml:space="preserve">Minnesota's average layer produced 276 eggs in 2010. </t>
  </si>
  <si>
    <t>Breeders begin laying eggs at 25 weeks continues 10 months (40 weeks) producing 200 eggs. Assume 50% are females.</t>
  </si>
  <si>
    <t>A mortality rate of 7% was factored into calculations.</t>
  </si>
  <si>
    <t>Total Layers at Given Time</t>
  </si>
  <si>
    <t>It was estimated that 2 pullet flocks are necessary per year to maintain a steady layer population; each pullet flock would be 1/3 of the layer population since it takes 18-20 weeks to begin laying eggs.</t>
  </si>
  <si>
    <t>By entering in the total layers and number of eggs produced per year per layer, the remainder of the flock structure will be calculated.</t>
  </si>
  <si>
    <t xml:space="preserve">Greene, J.L. and T. Cowan. 2012. Table egg production and hen welfare: The UEP-HSUS agreement and H.R. 3798. Congressional Research Service Report for Congress. R42534. </t>
  </si>
  <si>
    <t>Available at: http://www.fas.org/sgp/crs/misc/R42534.pdf</t>
  </si>
  <si>
    <t>User specified values should be entered in the green cells.</t>
  </si>
  <si>
    <t xml:space="preserve">Based on the user entered data, calculations are completed to update the red cells. </t>
  </si>
  <si>
    <t xml:space="preserve">Nonmolted flocks are kept laying an average of 64.2 weeks. </t>
  </si>
  <si>
    <t>Minnesota only molts 24% of their layers; therefore, the system was modeled as a nonmolted flock.</t>
  </si>
  <si>
    <t>National Research Council (NRC). 1994. Nutrient requirements of poultry: Ninth revised edition. National Academy Press, Washington, D.C.</t>
  </si>
  <si>
    <t>Early layer and early breeder hen rations were estimated by reducing the limestone since calcium requirement is lower.</t>
  </si>
  <si>
    <r>
      <t>Layer (breeder hen and cockerel was assumed the same) feed estimated using a MN producer ration provided through personal communication (</t>
    </r>
    <r>
      <rPr>
        <i/>
        <sz val="11"/>
        <color theme="1"/>
        <rFont val="Calibri"/>
        <family val="2"/>
        <scheme val="minor"/>
      </rPr>
      <t>October, 2012</t>
    </r>
    <r>
      <rPr>
        <sz val="11"/>
        <color theme="1"/>
        <rFont val="Calibri"/>
        <family val="2"/>
        <scheme val="minor"/>
      </rPr>
      <t xml:space="preserve">). </t>
    </r>
  </si>
  <si>
    <t>Dietary requirements based on:</t>
  </si>
  <si>
    <t>Sample Diet (Ingredients listed as kg/phase DM.)</t>
  </si>
  <si>
    <t>Egg Layer Flock</t>
  </si>
  <si>
    <t xml:space="preserve"> Available at: http://water.unl.edu/web/manure/software</t>
  </si>
  <si>
    <t xml:space="preserve">Koelsch, R.K. 2006. Manure nutrient and land requirment estimator. University of Nebraska, Lincoln. </t>
  </si>
  <si>
    <t>Feed Ingredient Nutritional Composition</t>
  </si>
  <si>
    <t>Dry Matter (DM) 
(% As-Fed)</t>
  </si>
  <si>
    <t>Crude Protein 
(% of DM)</t>
  </si>
  <si>
    <t>Phosphorus 
(% of DM)</t>
  </si>
  <si>
    <t>Potassium
(% of DM)</t>
  </si>
  <si>
    <t>Changing the order that the feed ingredients are listed on this sheet may produce nutrient calculation errors throughout the calculator tool. To eliminate this error, new feed ingredients should be inserted at the bottom of the list to prevent these errors.</t>
  </si>
  <si>
    <t>Reference</t>
  </si>
  <si>
    <t>NRC, 2001</t>
  </si>
  <si>
    <t>National Research Council (NRC). 2001. Nutrient requirements of dairy cattle. 7th edition. National Academy Press, Washington, D.C.</t>
  </si>
  <si>
    <t>Tahir et al., 2012</t>
  </si>
  <si>
    <t>Tahir, M., M.Y. Shim, N.E. Ward, C. Smith, E. Foster, A.C. Guney, and G.M. Pesti. 2012. Phytate and other nutrient components of feed ingredients for poultry. Poultry Science. 91:928-935.</t>
  </si>
  <si>
    <t>NRA, 2003</t>
  </si>
  <si>
    <t xml:space="preserve">National Renderers Association (NRA). 2003. Pocket information manual a buyer's guide to rendered products. NRA, Alexandria, Virginia. </t>
  </si>
  <si>
    <t>University of Minnesota Extension</t>
  </si>
  <si>
    <t>Linn, J.G., M.F. Hutjens, R. Shaver, D.E. Otterby, W.T. Howard, and L.H. Kilmer. 2008 Feeding the dairy herd. University of Minnesota North Central Regional Extension Publication 346, St. Paul, MN.</t>
  </si>
  <si>
    <t>Linn et al., 2008</t>
  </si>
  <si>
    <t>Nutrient References:</t>
  </si>
  <si>
    <t>Manual changes in this table will also require updates within the Egg_Manure spreadsheet.</t>
  </si>
  <si>
    <t>Hog Herd Population Structure</t>
  </si>
  <si>
    <t>Liter Size</t>
  </si>
  <si>
    <t>Calculated herd at any given time</t>
  </si>
  <si>
    <t>By entering in the total breeding sows, liter size and number of farms, the remainder of the herd population will be calculated.</t>
  </si>
  <si>
    <t>A culling rate of 48.8% was used.</t>
  </si>
  <si>
    <t>Default:  10.1 (MN - NASS, 2010)</t>
  </si>
  <si>
    <t>Minnesota NASS data indicates a 9.35 (2007) and 10.1 (2010) average liter size.</t>
  </si>
  <si>
    <t>Post-weaning mortality is approximately 8.8% (NASS, 2007-2011).</t>
  </si>
  <si>
    <t>Boar per Farm</t>
  </si>
  <si>
    <t>Total Boars</t>
  </si>
  <si>
    <t xml:space="preserve">Number of boars is calculated based on the number of farms in the study area using statistics determining the percent of farms with 0, 1, 2, 3 or &gt;4 boar. </t>
  </si>
  <si>
    <t>USDA. 2009. Small-Enterprise Swine 2007, Reference of Management Practices on Small-Enterprise Swine Operations in the United States, 2007. #N493.0209. USDA–APHIS–VS, CEAH. Fort Collins, CO.</t>
  </si>
  <si>
    <t>USDA. 2008. Part IV: Changes in the U.S. Pork Industry, 1990-2006. Practices in the United States, 2006. #N520.1108. USDA-APHIS-VS, CEAH. Fort Collins, CO.</t>
  </si>
  <si>
    <t>Approximately 4.3% of sows die. The calculated pig crop assumes that all breeding sows produce at least 1 liter before mortality. Otherwise, the pig crop assumes 2 piglet liters/sow/year.</t>
  </si>
  <si>
    <t>USDA. 2007. Swine 2006, Part I: Reference of Swine Health and Management. USDA-APHIS-VS, CEAH. #N475.1007. Fort Collins, CO.</t>
  </si>
  <si>
    <t>Approximately 13.2% of piglets are deceased prior to weaning and 2.9% are stillborn.</t>
  </si>
  <si>
    <r>
      <t xml:space="preserve">Pig Crop </t>
    </r>
    <r>
      <rPr>
        <i/>
        <sz val="11"/>
        <color theme="1"/>
        <rFont val="Calibri"/>
        <family val="2"/>
        <scheme val="minor"/>
      </rPr>
      <t>(alive post-weaning)</t>
    </r>
  </si>
  <si>
    <t>lbs of P/herd</t>
  </si>
  <si>
    <t>lbs of Manure/herd</t>
  </si>
  <si>
    <r>
      <rPr>
        <i/>
        <vertAlign val="superscript"/>
        <sz val="11"/>
        <color theme="1"/>
        <rFont val="Calibri"/>
        <family val="2"/>
        <scheme val="minor"/>
      </rPr>
      <t>1</t>
    </r>
    <r>
      <rPr>
        <i/>
        <sz val="11"/>
        <color theme="1"/>
        <rFont val="Calibri"/>
        <family val="2"/>
        <scheme val="minor"/>
      </rPr>
      <t xml:space="preserve"> Phosphorus mass adjusted (P reduced by 25%) for use of 500 FTU phytase in growing/finishing stage (Xu et al., 2006).</t>
    </r>
  </si>
  <si>
    <t>Pre-wean column incorporates the 19 days of sow milk consumption.</t>
  </si>
  <si>
    <t>1.4-1.8</t>
  </si>
  <si>
    <t>Nutrient requirements are from:</t>
  </si>
  <si>
    <t>National Research Council (NRC). 1998. Nutrient requirements of swine. 10th Revised Edition. National Academy of Science. Washington, D.C.</t>
  </si>
  <si>
    <r>
      <t xml:space="preserve">The sample diets dry matter mass (g/day) was calculated by linking the % composition of each feed ration </t>
    </r>
    <r>
      <rPr>
        <i/>
        <sz val="11"/>
        <color theme="1"/>
        <rFont val="Calibri"/>
        <family val="2"/>
        <scheme val="minor"/>
      </rPr>
      <t>(sheet</t>
    </r>
    <r>
      <rPr>
        <sz val="11"/>
        <color theme="1"/>
        <rFont val="Calibri"/>
        <family val="2"/>
        <scheme val="minor"/>
      </rPr>
      <t>: SwineFeedCalculator), together with the dry weight of each feed composition (</t>
    </r>
    <r>
      <rPr>
        <i/>
        <sz val="11"/>
        <color theme="1"/>
        <rFont val="Calibri"/>
        <family val="2"/>
        <scheme val="minor"/>
      </rPr>
      <t>sheet:</t>
    </r>
    <r>
      <rPr>
        <sz val="11"/>
        <color theme="1"/>
        <rFont val="Calibri"/>
        <family val="2"/>
        <scheme val="minor"/>
      </rPr>
      <t xml:space="preserve"> Feed_CompositionSwine).</t>
    </r>
  </si>
  <si>
    <t>Total Annual Consumption</t>
  </si>
  <si>
    <t>tons/year</t>
  </si>
  <si>
    <t>Sow milk (total 19 day consumption wet weight)</t>
  </si>
  <si>
    <t>Wet Matter</t>
  </si>
  <si>
    <t>Dry Matter (% As-Fed)</t>
  </si>
  <si>
    <r>
      <t xml:space="preserve">These rations were created based on % of feed. To calculate the dry weight of the feed and the mass of each consumed feed material,  this spreadsheet is linked together with </t>
    </r>
    <r>
      <rPr>
        <i/>
        <sz val="11"/>
        <color theme="1"/>
        <rFont val="Calibri"/>
        <family val="2"/>
        <scheme val="minor"/>
      </rPr>
      <t>sheet:</t>
    </r>
    <r>
      <rPr>
        <sz val="11"/>
        <color theme="1"/>
        <rFont val="Calibri"/>
        <family val="2"/>
        <scheme val="minor"/>
      </rPr>
      <t xml:space="preserve"> Feed_CompositionSwine and factors in the total mass of feed consumed at each stage of production.</t>
    </r>
  </si>
  <si>
    <t>Boar 
*See gestating sow</t>
  </si>
  <si>
    <t xml:space="preserve">This spreadsheet is used to compute the total %P for each livestock (except swine) diet. </t>
  </si>
  <si>
    <t xml:space="preserve">This spreadsheet is used to compute the total %P, %K, %CP, and %Lysine for each phase of the swine diet. </t>
  </si>
  <si>
    <t>Nutrient composition is from:</t>
  </si>
  <si>
    <t>.</t>
  </si>
  <si>
    <t>Diets were formulated through personal communiation with Dr. Gerald Shurson (Department of Animal Science, University of Minnesota), together with feed rations from a local Minnesota hog producer. The boar ration was developed based on the needs of the gestating sow.</t>
  </si>
  <si>
    <t>Mahan, D.C. and R.G. Shields, Jr. 1998. Macro- and micromineral composition of pigs from birth to 145 kilograms of weight. J. Anim. Sci. 76:506-512.</t>
  </si>
  <si>
    <r>
      <t xml:space="preserve">Hog %P composition estimated using values from </t>
    </r>
    <r>
      <rPr>
        <sz val="11"/>
        <color theme="1"/>
        <rFont val="Calibri"/>
        <family val="2"/>
        <scheme val="minor"/>
      </rPr>
      <t>Mahan &amp; Shields, 1998.</t>
    </r>
  </si>
  <si>
    <t>Total P Feed Consumption</t>
  </si>
  <si>
    <r>
      <t xml:space="preserve">Supplements </t>
    </r>
    <r>
      <rPr>
        <i/>
        <sz val="11"/>
        <color theme="1"/>
        <rFont val="Calibri"/>
        <family val="2"/>
        <scheme val="minor"/>
      </rPr>
      <t>(Included in Feed)</t>
    </r>
  </si>
  <si>
    <t>Pork produced was calculated using the average finished weight for MN hogs in 2011 was 269 lbs (NASS, 2012). The total also includes culled sows at the weight of 320 lbs/sow).</t>
  </si>
  <si>
    <t xml:space="preserve">Culled Sows </t>
  </si>
  <si>
    <t>Slaughtered Weight</t>
  </si>
  <si>
    <t xml:space="preserve">Onsite hog deaths are rendered offsite (60%), disposed of offsite (0.3%), or composted onsite (39%). </t>
  </si>
  <si>
    <t>Piglet Input</t>
  </si>
  <si>
    <t>AS Feed intake (g/day)</t>
  </si>
  <si>
    <t>Imported Piglets</t>
  </si>
  <si>
    <t>Typically there are 2.8 turns on a MN hog farm; therefore, at any given time 65% of the pig crop is on site.</t>
  </si>
  <si>
    <t>P inputs per animal were calculated by incorporating corresponding growth phase and feed consumption values into the Manure Nutrient and Land Requirement Estimator spreadsheet, which bases estimates upon  ASABE Standard D384.2 and Chapter 11 of the USDA NRCS Agricultural Waste Management Field Handbook. Any dietary or ration modification requires the user to manually update the manure P.</t>
  </si>
  <si>
    <t>A mortality rate of 3.8% was factored into calculations.</t>
  </si>
  <si>
    <t xml:space="preserve">National Chicken Council. 2011. U.S. Broiler Performance. </t>
  </si>
  <si>
    <t>Available at: http://www.nationalchickencouncil.org/about-the-industry/statistics/u-s-broiler-performance/</t>
  </si>
  <si>
    <t>Minnesota's broilers are slaughtered at 45 days.</t>
  </si>
  <si>
    <r>
      <t xml:space="preserve">Egg hatchability rate approximately 84% </t>
    </r>
    <r>
      <rPr>
        <i/>
        <sz val="11"/>
        <rFont val="Calibri"/>
        <family val="2"/>
        <scheme val="minor"/>
      </rPr>
      <t>(USDA NASS, 2013).</t>
    </r>
  </si>
  <si>
    <t xml:space="preserve">Live weight per bird at slaughter estimated as approximately 5.8 lbs per bird. </t>
  </si>
  <si>
    <t>USDA. 2013. Poultry Slaughter 2012 Summary. ISSN:2159-7480. NASS, Washington, DC.</t>
  </si>
  <si>
    <r>
      <t>By entering in the total broilers finished (</t>
    </r>
    <r>
      <rPr>
        <b/>
        <i/>
        <sz val="11"/>
        <color theme="1"/>
        <rFont val="Calibri"/>
        <family val="2"/>
        <scheme val="minor"/>
      </rPr>
      <t>slaughtered</t>
    </r>
    <r>
      <rPr>
        <b/>
        <sz val="11"/>
        <color theme="1"/>
        <rFont val="Calibri"/>
        <family val="2"/>
        <scheme val="minor"/>
      </rPr>
      <t>) per year, the remainder of the flock structure will be calculated.</t>
    </r>
  </si>
  <si>
    <t>Manual changes in this table will also require updates within the Broiler_Manure spreadsheet.</t>
  </si>
  <si>
    <t>Feed rations developed using Gold 'N Plump web information and Noll, S. 2007. Formulating poultry diets with DDGS - How far can we go? In: Zimmermann, N.G., editor. Proceedings of the 5th Mid-Atlantic Nutrition Converence. College Park, MD.</t>
  </si>
  <si>
    <t>Broiler Flock</t>
  </si>
  <si>
    <t>Mortality after Starting Phase</t>
  </si>
  <si>
    <t>Grown to Slaughter</t>
  </si>
  <si>
    <r>
      <t xml:space="preserve">P inputs per animal were calculated by incorporating corresponding growth phase and feed consumption values into the Manure Nutrient and Land Requirement Estimator spreadsheet, which bases estimates upon  ASABE Standard D384.2 and Chapter 11 of the USDA NRCS Agricultural Waste Management Field Handbook. </t>
    </r>
    <r>
      <rPr>
        <b/>
        <sz val="11"/>
        <color theme="1"/>
        <rFont val="Calibri"/>
        <family val="2"/>
        <scheme val="minor"/>
      </rPr>
      <t>Any dietary or ration modification requires the user to manually update the manure P.</t>
    </r>
  </si>
  <si>
    <t>--------------- lbs -------------</t>
  </si>
  <si>
    <t>Swine Herd</t>
  </si>
  <si>
    <t>Dairy Herd</t>
  </si>
  <si>
    <t>Beef Herd</t>
  </si>
  <si>
    <t>Turkey Flock</t>
  </si>
  <si>
    <t>Rendered product included any unhatched breeder eggs and hatchery egg shells,. Approximately 47% of spent hens/cockerels/layers are rendered.</t>
  </si>
  <si>
    <t>Rendered Product</t>
  </si>
  <si>
    <t>Processed chicken includes 47.5% of the spent hens/cockerels/layers.</t>
  </si>
  <si>
    <t>Egg and chicken %P composition estimated using values from:</t>
  </si>
  <si>
    <t>Chick weight:</t>
  </si>
  <si>
    <t>Egg shell P:</t>
  </si>
  <si>
    <t>Carcass composition:</t>
  </si>
  <si>
    <t>Egg composition:</t>
  </si>
  <si>
    <t xml:space="preserve">Mortalities are generally disposed of through trash pick-up. </t>
  </si>
  <si>
    <t>USDA. 2006. Poultry 2004 Part III: Reference of Management Practices in Live-Poultry Markets in the United States, 2004. NAHMS #N44.0406. Fort Collins, CO.</t>
  </si>
  <si>
    <t>Phosphorus efficiency is calculated by the P mass in the product divided by the P mass consumed.</t>
  </si>
  <si>
    <t>Average consumed egg:</t>
  </si>
  <si>
    <t>USDA. 2013. National Nutrient Database for Standard Reference. Available at:http://ndb.nal.usda.gov/ (Accessed September 20, 2013).</t>
  </si>
  <si>
    <t>Other Disposal</t>
  </si>
  <si>
    <t>Remaining Layers / Growing Breeders</t>
  </si>
  <si>
    <t>Romanoff, A.L. and A.J. Romanoff. 1949. The Avian Egg. John Wiley and Sons, New York.</t>
  </si>
  <si>
    <t>Shell + Residual Albumen Only</t>
  </si>
  <si>
    <t>Phosphorus in manure was not adjusted from the model calculator because the reduction is consistent with the output generated by just reducing the diet P.</t>
  </si>
  <si>
    <r>
      <t>Pullet (Stage 2)</t>
    </r>
    <r>
      <rPr>
        <b/>
        <vertAlign val="superscript"/>
        <sz val="11"/>
        <color theme="1"/>
        <rFont val="Calibri"/>
        <family val="2"/>
        <scheme val="minor"/>
      </rPr>
      <t>1</t>
    </r>
  </si>
  <si>
    <r>
      <t>Pullet (Stage 3)</t>
    </r>
    <r>
      <rPr>
        <b/>
        <vertAlign val="superscript"/>
        <sz val="11"/>
        <color theme="1"/>
        <rFont val="Calibri"/>
        <family val="2"/>
        <scheme val="minor"/>
      </rPr>
      <t>1</t>
    </r>
  </si>
  <si>
    <r>
      <t>Early Laying</t>
    </r>
    <r>
      <rPr>
        <b/>
        <vertAlign val="superscript"/>
        <sz val="11"/>
        <color theme="1"/>
        <rFont val="Calibri"/>
        <family val="2"/>
        <scheme val="minor"/>
      </rPr>
      <t>1,2</t>
    </r>
  </si>
  <si>
    <r>
      <t>Laying</t>
    </r>
    <r>
      <rPr>
        <b/>
        <vertAlign val="superscript"/>
        <sz val="11"/>
        <color theme="1"/>
        <rFont val="Calibri"/>
        <family val="2"/>
        <scheme val="minor"/>
      </rPr>
      <t>1</t>
    </r>
  </si>
  <si>
    <r>
      <t>Early Breeder Hen</t>
    </r>
    <r>
      <rPr>
        <b/>
        <vertAlign val="superscript"/>
        <sz val="11"/>
        <color theme="1"/>
        <rFont val="Calibri"/>
        <family val="2"/>
        <scheme val="minor"/>
      </rPr>
      <t>1</t>
    </r>
  </si>
  <si>
    <r>
      <t>Breeder Hen</t>
    </r>
    <r>
      <rPr>
        <b/>
        <vertAlign val="superscript"/>
        <sz val="11"/>
        <color theme="1"/>
        <rFont val="Calibri"/>
        <family val="2"/>
        <scheme val="minor"/>
      </rPr>
      <t>1</t>
    </r>
  </si>
  <si>
    <r>
      <t>Breeder Cockerel</t>
    </r>
    <r>
      <rPr>
        <b/>
        <vertAlign val="superscript"/>
        <sz val="11"/>
        <color theme="1"/>
        <rFont val="Calibri"/>
        <family val="2"/>
        <scheme val="minor"/>
      </rPr>
      <t>1</t>
    </r>
  </si>
  <si>
    <r>
      <t>Laying</t>
    </r>
    <r>
      <rPr>
        <b/>
        <vertAlign val="superscript"/>
        <sz val="11"/>
        <color theme="1"/>
        <rFont val="Calibri"/>
        <family val="2"/>
        <scheme val="minor"/>
      </rPr>
      <t>3</t>
    </r>
  </si>
  <si>
    <t>Shell Only + Albumen</t>
  </si>
  <si>
    <r>
      <t>By entering in the total young turkeys slaughtered</t>
    </r>
    <r>
      <rPr>
        <b/>
        <sz val="11"/>
        <color theme="1"/>
        <rFont val="Calibri"/>
        <family val="2"/>
        <scheme val="minor"/>
      </rPr>
      <t xml:space="preserve"> per year, the remainder of the flock structure will be calculated.</t>
    </r>
  </si>
  <si>
    <t>The national average livability for toms is about 87% and 92% for hens.</t>
  </si>
  <si>
    <t>http://www.mda.state.mn.us/kids/~/media/Files/kids/maitc/turkey.ashx</t>
  </si>
  <si>
    <r>
      <t xml:space="preserve">Egg hatchability rate approximately 85%; hens lay 100 eggs per cycle </t>
    </r>
    <r>
      <rPr>
        <i/>
        <sz val="11"/>
        <rFont val="Calibri"/>
        <family val="2"/>
        <scheme val="minor"/>
      </rPr>
      <t>(Minnesota Department of Agriculture).</t>
    </r>
  </si>
  <si>
    <t>The ratio of Hens to Toms is 17:1.</t>
  </si>
  <si>
    <t>http://animalscience.ucdavis.edu/Avian/pfs16C.htm. Accessed June 19, 2013.</t>
  </si>
  <si>
    <t xml:space="preserve">Voris JC. 1997. California turkey production. University of California Cooperative Extension, Poultry Fact Sheet No. 16c. </t>
  </si>
  <si>
    <t>Manual changes in this table will also require updates within the Turkey_Manure spreadsheet.</t>
  </si>
  <si>
    <r>
      <t>Tom Finishing</t>
    </r>
    <r>
      <rPr>
        <b/>
        <vertAlign val="superscript"/>
        <sz val="11"/>
        <color theme="1"/>
        <rFont val="Calibri"/>
        <family val="2"/>
        <scheme val="minor"/>
      </rPr>
      <t>2</t>
    </r>
  </si>
  <si>
    <r>
      <rPr>
        <vertAlign val="superscript"/>
        <sz val="11"/>
        <color theme="1"/>
        <rFont val="Calibri"/>
        <family val="2"/>
        <scheme val="minor"/>
      </rPr>
      <t xml:space="preserve">2 </t>
    </r>
    <r>
      <rPr>
        <sz val="11"/>
        <color theme="1"/>
        <rFont val="Calibri"/>
        <family val="2"/>
        <scheme val="minor"/>
      </rPr>
      <t>Total dry matter intake was multiplied by 4 to represent the 4 additional months of  using Toms for breeding.</t>
    </r>
  </si>
  <si>
    <t>Diets were modeled using regional nutritional information provided by:</t>
  </si>
  <si>
    <r>
      <t xml:space="preserve">Starter diets: </t>
    </r>
    <r>
      <rPr>
        <i/>
        <sz val="11"/>
        <color theme="1"/>
        <rFont val="Calibri"/>
        <family val="2"/>
        <scheme val="minor"/>
      </rPr>
      <t>Charbeneau, R.A. and K.D. Roberson. 2004. Effects of corn and soybean meal particle size on phosphorus use in turkey poults. J. Appl. Poult. Res. 13:302-310.</t>
    </r>
  </si>
  <si>
    <r>
      <t xml:space="preserve">Grower diets: </t>
    </r>
    <r>
      <rPr>
        <i/>
        <sz val="11"/>
        <color theme="1"/>
        <rFont val="Calibri"/>
        <family val="2"/>
        <scheme val="minor"/>
      </rPr>
      <t>Noll, Sally. 2007. Using corn DDGS in turkey rations.  University of Minnesota, St. Paul. Presented at the Illinois Turkey Growers Meeting, Peoria, IL. Mar. 6, 2007. (Available at: http://www.ddgs.umn.edu/PptPresent/Poultry/index.htm)</t>
    </r>
  </si>
  <si>
    <r>
      <t xml:space="preserve">Holding and Layer diet : </t>
    </r>
    <r>
      <rPr>
        <i/>
        <sz val="11"/>
        <color theme="1"/>
        <rFont val="Calibri"/>
        <family val="2"/>
        <scheme val="minor"/>
      </rPr>
      <t>Bregendahl, K. 2008. Use of distillers co-products in diets fed to poultry. In: Babcock, B.A. et al., editors, Using distillers grains in the U.S. and international livestock and poultry industries. Midwest Agribuisiness Trade Research and Information Center, Ames, IA. p. 99-133.</t>
    </r>
  </si>
  <si>
    <r>
      <rPr>
        <vertAlign val="superscript"/>
        <sz val="11"/>
        <color theme="1"/>
        <rFont val="Calibri"/>
        <family val="2"/>
        <scheme val="minor"/>
      </rPr>
      <t>1</t>
    </r>
    <r>
      <rPr>
        <sz val="11"/>
        <color theme="1"/>
        <rFont val="Calibri"/>
        <family val="2"/>
        <scheme val="minor"/>
      </rPr>
      <t>Diets of the growers &amp; finishers reflect incorporation of 500 units of phytase / kg diet supplement (-0.1% Dicalcium phosphate)</t>
    </r>
  </si>
  <si>
    <t>Age of slaughter based on :</t>
  </si>
  <si>
    <t>Turkey slaughter weights based on February 2013 USDA NASS Minensota statistics.</t>
  </si>
  <si>
    <r>
      <t>Tom Grower</t>
    </r>
    <r>
      <rPr>
        <b/>
        <vertAlign val="superscript"/>
        <sz val="11"/>
        <color theme="1"/>
        <rFont val="Calibri"/>
        <family val="2"/>
        <scheme val="minor"/>
      </rPr>
      <t>1</t>
    </r>
  </si>
  <si>
    <r>
      <t>Tom Finishing and Breeder</t>
    </r>
    <r>
      <rPr>
        <b/>
        <vertAlign val="superscript"/>
        <sz val="11"/>
        <color theme="1"/>
        <rFont val="Calibri"/>
        <family val="2"/>
        <scheme val="minor"/>
      </rPr>
      <t>1</t>
    </r>
  </si>
  <si>
    <r>
      <t>Hen Grower</t>
    </r>
    <r>
      <rPr>
        <b/>
        <vertAlign val="superscript"/>
        <sz val="11"/>
        <color theme="1"/>
        <rFont val="Calibri"/>
        <family val="2"/>
        <scheme val="minor"/>
      </rPr>
      <t>1</t>
    </r>
  </si>
  <si>
    <r>
      <t>Hen Finishing</t>
    </r>
    <r>
      <rPr>
        <b/>
        <vertAlign val="superscript"/>
        <sz val="11"/>
        <color theme="1"/>
        <rFont val="Calibri"/>
        <family val="2"/>
        <scheme val="minor"/>
      </rPr>
      <t>1</t>
    </r>
  </si>
  <si>
    <r>
      <t>Holding</t>
    </r>
    <r>
      <rPr>
        <b/>
        <vertAlign val="superscript"/>
        <sz val="11"/>
        <color theme="1"/>
        <rFont val="Calibri"/>
        <family val="2"/>
        <scheme val="minor"/>
      </rPr>
      <t>1</t>
    </r>
  </si>
  <si>
    <r>
      <t>Layer</t>
    </r>
    <r>
      <rPr>
        <b/>
        <vertAlign val="superscript"/>
        <sz val="11"/>
        <color theme="1"/>
        <rFont val="Calibri"/>
        <family val="2"/>
        <scheme val="minor"/>
      </rPr>
      <t>1</t>
    </r>
  </si>
  <si>
    <t>Rendered product includes unhatched eggs and egg shells from hatchery.</t>
  </si>
  <si>
    <t>Chicken produced includes slaughtered birds.</t>
  </si>
  <si>
    <r>
      <t>Phosphorus</t>
    </r>
    <r>
      <rPr>
        <b/>
        <vertAlign val="superscript"/>
        <sz val="11"/>
        <color theme="1"/>
        <rFont val="Calibri"/>
        <family val="2"/>
        <scheme val="minor"/>
      </rPr>
      <t>1</t>
    </r>
  </si>
  <si>
    <t>lbs P/flock</t>
  </si>
  <si>
    <t xml:space="preserve">%P retained </t>
  </si>
  <si>
    <t>Whole broiler % P:</t>
  </si>
  <si>
    <t>Hemme, A., M. Spark, P. Wolf, H. Paschertz, and J. Kamphues. 2005. Effects of different phosphorus sources in the diet on bone composition and stability (breaking strength) in broilers. J. Animal Physiology and Animal Nutrition. 89:129–133.</t>
  </si>
  <si>
    <r>
      <rPr>
        <i/>
        <vertAlign val="superscript"/>
        <sz val="11"/>
        <color theme="1"/>
        <rFont val="Calibri"/>
        <family val="2"/>
        <scheme val="minor"/>
      </rPr>
      <t>1</t>
    </r>
    <r>
      <rPr>
        <i/>
        <sz val="11"/>
        <color theme="1"/>
        <rFont val="Calibri"/>
        <family val="2"/>
        <scheme val="minor"/>
      </rPr>
      <t xml:space="preserve"> Phosphorus mass adjusted by a reduction of 7% for use of phytase by all categories except Hens with early mortality.</t>
    </r>
  </si>
  <si>
    <t>Egg and turkey %P retention estimated using values from:</t>
  </si>
  <si>
    <t>Carcass retention:</t>
  </si>
  <si>
    <t>%P retained</t>
  </si>
  <si>
    <t>Dietary requirements and body weights are based on:</t>
  </si>
  <si>
    <t>Egg composition P:</t>
  </si>
  <si>
    <t xml:space="preserve">Applegate, T., A. Adedokun, W. Powers, and R. Angel. 2008. Determination of nutrient mass balance in turkeys. Poultry Science. 87:2477-2485. </t>
  </si>
  <si>
    <t>Age of turkey</t>
  </si>
  <si>
    <r>
      <t xml:space="preserve">0-18 weeks </t>
    </r>
    <r>
      <rPr>
        <i/>
        <sz val="11"/>
        <color theme="1"/>
        <rFont val="Calibri"/>
        <family val="2"/>
        <scheme val="minor"/>
      </rPr>
      <t xml:space="preserve">(and hen layer) </t>
    </r>
  </si>
  <si>
    <t>Annual Composition (kg/year)</t>
  </si>
  <si>
    <t>Sample Diet (Ingredients listed as g/year DM)</t>
  </si>
  <si>
    <t>(% Wet Based)</t>
  </si>
  <si>
    <t>Dietary Protein (% Wet Based)</t>
  </si>
  <si>
    <t>Hog Herd</t>
  </si>
  <si>
    <t>Hog Herd Sample Diet Composition</t>
  </si>
  <si>
    <t>Age at First Litter (month)</t>
  </si>
  <si>
    <t>Anticipated pigs in litter</t>
  </si>
  <si>
    <r>
      <t xml:space="preserve">Hog Deaths </t>
    </r>
    <r>
      <rPr>
        <i/>
        <sz val="11"/>
        <color theme="1"/>
        <rFont val="Calibri"/>
        <family val="2"/>
        <scheme val="minor"/>
      </rPr>
      <t>(Rendered)</t>
    </r>
  </si>
  <si>
    <r>
      <t xml:space="preserve">Hog Deaths </t>
    </r>
    <r>
      <rPr>
        <i/>
        <sz val="11"/>
        <color theme="1"/>
        <rFont val="Calibri"/>
        <family val="2"/>
        <scheme val="minor"/>
      </rPr>
      <t>(Offsite Disposal)</t>
    </r>
  </si>
  <si>
    <r>
      <t>Hog Deaths</t>
    </r>
    <r>
      <rPr>
        <i/>
        <sz val="11"/>
        <color theme="1"/>
        <rFont val="Calibri"/>
        <family val="2"/>
        <scheme val="minor"/>
      </rPr>
      <t xml:space="preserve"> (Onsite Disposal/Composting)</t>
    </r>
  </si>
  <si>
    <t>Dairy Herd Population Structure</t>
  </si>
  <si>
    <t>Total Cows &amp; Heifers</t>
  </si>
  <si>
    <t>Calculated Herd with Bulls</t>
  </si>
  <si>
    <t xml:space="preserve">Approximately 8.9% of calves are stillborn and an additional 1.8% die after birth. </t>
  </si>
  <si>
    <t>USDA. 2009. Dairy 2007, Part IV: Reference of Dairy Cattle Health and Management Practices in the United States, 2007 USDA:APHIS:VS, CEAH. Fort Collins, CO</t>
  </si>
  <si>
    <t>Nordquist, D. 2012. FINBIN report on Minnesota farm finances. Center for Farm Financial Management, Univ. of Minnesota, St.Paul, MN.</t>
  </si>
  <si>
    <t>The mortality rate of grown dairy cattle is 7.6% for Minnesota.</t>
  </si>
  <si>
    <t>Minnesota Dairy Herd Improvement Association (MNDHIA) 2012 scorecard available online (www.mndhia.org).</t>
  </si>
  <si>
    <t>Minnesota's dry cow culling rate (for slaughter) is 30%.</t>
  </si>
  <si>
    <t>Bulls per Farm</t>
  </si>
  <si>
    <r>
      <rPr>
        <sz val="11"/>
        <color theme="1"/>
        <rFont val="Calibri"/>
        <family val="2"/>
      </rPr>
      <t>≥</t>
    </r>
    <r>
      <rPr>
        <sz val="11"/>
        <color theme="1"/>
        <rFont val="Calibri"/>
        <family val="2"/>
        <scheme val="minor"/>
      </rPr>
      <t>5</t>
    </r>
  </si>
  <si>
    <r>
      <t xml:space="preserve">Number of bulls is calculated based on the number of farms in the study area using statistics determining the percent of farms with 0, 1, 2-4, or </t>
    </r>
    <r>
      <rPr>
        <sz val="11"/>
        <color theme="1"/>
        <rFont val="Calibri"/>
        <family val="2"/>
      </rPr>
      <t>≥</t>
    </r>
    <r>
      <rPr>
        <sz val="11"/>
        <color theme="1"/>
        <rFont val="Calibri"/>
        <family val="2"/>
        <scheme val="minor"/>
      </rPr>
      <t xml:space="preserve">5 bulls. </t>
    </r>
  </si>
  <si>
    <t>Total Bulls</t>
  </si>
  <si>
    <t>Wattiaux M.A., and D. McCullough. 1994. Factors affecting size and productivity of the dairy replacement herd. In: Babcock Institute for International Dairy Research and Development, editor, Dairy essentials: nutrition and feeding, reproduction and selection, lactation and milking, raising dairy heifers. University of Wisconsin, Madison, WI. p. 101-104.</t>
  </si>
  <si>
    <t>Replacement and first-calf heifer equations  com from:</t>
  </si>
  <si>
    <t>First calving is at 26 month and the calving interval is 15 months.</t>
  </si>
  <si>
    <t xml:space="preserve">If the total number of milking cows is known, enter that value below in Cell "C7". If only the total herd (females) is known, enter that here in Cell "C6". </t>
  </si>
  <si>
    <t>By entering in the total cows &amp; heifers or the total milking cows, together with the number of farms, the remainder of the herd population will be calculated.</t>
  </si>
  <si>
    <r>
      <rPr>
        <i/>
        <sz val="11"/>
        <color theme="1"/>
        <rFont val="Calibri"/>
        <family val="2"/>
        <scheme val="minor"/>
      </rPr>
      <t>Calculated</t>
    </r>
    <r>
      <rPr>
        <sz val="11"/>
        <color theme="1"/>
        <rFont val="Calibri"/>
        <family val="2"/>
        <scheme val="minor"/>
      </rPr>
      <t xml:space="preserve"> Total Breeding Sows</t>
    </r>
  </si>
  <si>
    <t>Requires a value of "0" in Total Breeding Sows Cell "B6" and manually input Pig Crop into Cell "C9".</t>
  </si>
  <si>
    <t xml:space="preserve">The necessary breeding sows will be calculated above in Cell "C6". </t>
  </si>
  <si>
    <t xml:space="preserve"> If Pig Crop is known but the number of breeding sows is not, over-ride the formula in Cell "B9" by entering it here in Cell "C9". </t>
  </si>
  <si>
    <r>
      <t>Transfer that value to Cell "</t>
    </r>
    <r>
      <rPr>
        <i/>
        <sz val="11"/>
        <color theme="1"/>
        <rFont val="Calibri"/>
        <family val="2"/>
        <scheme val="minor"/>
      </rPr>
      <t>B6</t>
    </r>
    <r>
      <rPr>
        <sz val="11"/>
        <color theme="1"/>
        <rFont val="Calibri"/>
        <family val="2"/>
        <scheme val="minor"/>
      </rPr>
      <t>".</t>
    </r>
  </si>
  <si>
    <t>National Research Council (NRC). 2001. Nutrient requirements of dairy cattle:  7th Revised Edition. National Academy of Science. Washington, D.C.</t>
  </si>
  <si>
    <t>Diets were formulated using:</t>
  </si>
  <si>
    <t>Calf:</t>
  </si>
  <si>
    <t>Dry Cow:</t>
  </si>
  <si>
    <t>Lactating Cow:</t>
  </si>
  <si>
    <t>Replacement Heifer (6-15 mo):</t>
  </si>
  <si>
    <t>Moss, B.R. D.A. Coleman, and J. Floyd. 1997. Feeding and management of dairy heifers: 6 months to calving. Alabama Cooperative Extension System. Publication Identification #ANR-0632.</t>
  </si>
  <si>
    <t>Replacement Heifer (3-6 mo):</t>
  </si>
  <si>
    <t>Moss, B.R. D.A. Coleman, and J. Floyd. 1997. Feeding and management of dairy calf: Birth to 6 months. Alabama Cooperative Extension System. Publication Identification #ANR-0609.</t>
  </si>
  <si>
    <t>Formulated based on personal communication with University of Minnesota Dairy Nutrition Professor Noah Litherland on May 3, 2012.</t>
  </si>
  <si>
    <t>Sample Diet (Ingredients listed as lbs/year DM)</t>
  </si>
  <si>
    <r>
      <rPr>
        <i/>
        <vertAlign val="superscript"/>
        <sz val="11"/>
        <color theme="1"/>
        <rFont val="Calibri"/>
        <family val="2"/>
        <scheme val="minor"/>
      </rPr>
      <t>1</t>
    </r>
    <r>
      <rPr>
        <i/>
        <sz val="11"/>
        <color theme="1"/>
        <rFont val="Calibri"/>
        <family val="2"/>
        <scheme val="minor"/>
      </rPr>
      <t xml:space="preserve">Herd maintains this number throughout year. </t>
    </r>
  </si>
  <si>
    <r>
      <t>Herd Size</t>
    </r>
    <r>
      <rPr>
        <b/>
        <vertAlign val="superscript"/>
        <sz val="11"/>
        <color theme="1"/>
        <rFont val="Calibri"/>
        <family val="2"/>
        <scheme val="minor"/>
      </rPr>
      <t>1</t>
    </r>
  </si>
  <si>
    <t># Head</t>
  </si>
  <si>
    <t>Input (Feed) - Output (Meat, Rendered Deaths) - Transfers (Manure)</t>
  </si>
  <si>
    <t xml:space="preserve">Milk Output </t>
  </si>
  <si>
    <t>Milk Output per Cow</t>
  </si>
  <si>
    <t>lbs/day</t>
  </si>
  <si>
    <t>Phosphorus Equivalent</t>
  </si>
  <si>
    <t>lbs P/year</t>
  </si>
  <si>
    <t>Milking Duration</t>
  </si>
  <si>
    <t>days/year</t>
  </si>
  <si>
    <t>Cow %P composition estimated using values from Moultan, 1922.</t>
  </si>
  <si>
    <t>Moulton, C.R., P.F. Trowbridge, and L.D. Haigh. 1922. Studies in animal nutrition III. Changes in chemical composition on different planes of nutrition. University of Missouri Research Bulletin, Columbia, MO.</t>
  </si>
  <si>
    <t>USDA. 2012. National Nutrient Database for Standard Reference, Release 24. Agricultural Research Service.</t>
  </si>
  <si>
    <r>
      <t xml:space="preserve">Average milk output per cow estimated from Minnesota Dairy Heard Improvement Association (DHIA 2012) Scorecard accessible at: </t>
    </r>
    <r>
      <rPr>
        <i/>
        <sz val="11"/>
        <color theme="1"/>
        <rFont val="Calibri"/>
        <family val="2"/>
        <scheme val="minor"/>
      </rPr>
      <t>http://www.mndhia.org/.</t>
    </r>
  </si>
  <si>
    <t xml:space="preserve">Milk P estimated using: </t>
  </si>
  <si>
    <t>If milk output is known, enter here:</t>
  </si>
  <si>
    <t xml:space="preserve">Male dairy calves are included as an import into the herd at 98 lbs each. </t>
  </si>
  <si>
    <t xml:space="preserve">Meat Output </t>
  </si>
  <si>
    <t>Meat Output includes the dairy steers exported from the dairy herd, assumed a finished Holstein weight of 1212 lbs.</t>
  </si>
  <si>
    <t>Beef Herd Population Structure</t>
  </si>
  <si>
    <t>Farm Business Management Education Programs. 2012. 2011 North Central &amp; Northwestern Annual Report. Report # 56.  Minnesota State Colleges and Universities, St.Paul, MN. Available at: http://www.fbm.mnscu.edu/</t>
  </si>
  <si>
    <t>North Dakota State University Extension Service .The Benchmarks. Cow Herd Appraisal Performance Software (CHAPS 2000). Accessed June 29, 2012.  Available at: http://www.chaps2000.com/</t>
  </si>
  <si>
    <t>Percentage births by month (2007-2011) from:</t>
  </si>
  <si>
    <t>Replacements needed per beef cow herd from:</t>
  </si>
  <si>
    <t>Calving, weaning, and pre-weaning deaths from:</t>
  </si>
  <si>
    <t>Post-weaning deaths from:</t>
  </si>
  <si>
    <t>USDA. 2010. Beef 2007–08 Part IV: Reference of Beef Cow-calf Management Practices in the United States, 2007–08, #523.0210 USDA:APHIS:VS, CEAH. Fort Collins, CO</t>
  </si>
  <si>
    <t>USDA. 2009. Beef 2007-08 Part III: Changes in the U.S. Beef Cow-calf Industry, 1993-2008s, #N518.0509 USDA:APHIS:VS, CEAH. Fort Collins, CO</t>
  </si>
  <si>
    <t>Females per mature bull from:</t>
  </si>
  <si>
    <t>USDA. 2009. Beef 2007-08 Part II: Reference of Beef Cow-calf
Management Practices in the United States, 2007–08, #N512.0209 USDA:APHIS:VS, CEAH. Fort Collins, CO</t>
  </si>
  <si>
    <t>National Research Council (NRC). 2000. Nutrient requirements of beef cattle:  7th Revised Edition. National Academy of Science. Washington, D.C.</t>
  </si>
  <si>
    <t xml:space="preserve">Phosphorus requirements were calculated using a value of 16 mg P/kg body weight. Phosphorus needs, during lactation, in excess of maintenance, were calculated as 0.95 g P/kg milk produced. Fetal P was assumed to be 7.6 g P/kg fetal weight. This requirement was districuted over the last 3 months of pregnancy. </t>
  </si>
  <si>
    <t>This information and additional nutrient requirements were taken from:</t>
  </si>
  <si>
    <t>P requirement (NRC, 2000) (kg)</t>
  </si>
  <si>
    <t>K requirement (NRC, 2000)</t>
  </si>
  <si>
    <t>CP requirement (NRC, 2000)</t>
  </si>
  <si>
    <t>Sample Diet (Ingredients listed as kg/year DM)</t>
  </si>
  <si>
    <r>
      <t xml:space="preserve">Cow Milk </t>
    </r>
    <r>
      <rPr>
        <b/>
        <i/>
        <sz val="11"/>
        <color theme="1"/>
        <rFont val="Calibri"/>
        <family val="2"/>
        <scheme val="minor"/>
      </rPr>
      <t>(*wet weight)</t>
    </r>
  </si>
  <si>
    <t xml:space="preserve">Total Phosphorus </t>
  </si>
  <si>
    <t>Calculated Herd Total</t>
  </si>
  <si>
    <t>Cows that calved</t>
  </si>
  <si>
    <t>Onsite Mortality Disposal</t>
  </si>
  <si>
    <t>Mortality disposal from:</t>
  </si>
  <si>
    <t>Total Cows</t>
  </si>
  <si>
    <t>Deaths (Pre-Weaning)</t>
  </si>
  <si>
    <t>Landfilled Product</t>
  </si>
  <si>
    <t>Input (Feed + Calves) - Output (Meat) - Transfers (Manure + Mortality)</t>
  </si>
  <si>
    <t>Spreadsheet only requires that a number be entered into only one of these two cells.</t>
  </si>
  <si>
    <t>Diets were formulated using several in depth feed spreadsheets constructed by Alfredo DiConstanzo, Animal Science Professor, University of Minnesota, based on the livestock energy requirements. The spreadsheets are constructed to represent both grass-fed and conventional beef systems. These spreadsheets are included internally within this database, but are hidden since they provide background energy calculations based on daily growth and development. They may be accessed as needed by the User.</t>
  </si>
  <si>
    <t>LIVESTOCK</t>
  </si>
  <si>
    <t>To prevent formulas from being mistakenly deleted, they are password protected. If the user wants to edit or update a formula, the password is :</t>
  </si>
  <si>
    <t>It is advised to unlock the spreadsheets only as needed.</t>
  </si>
  <si>
    <t>Each set of sheets is color coded to correspond to a specific livestock system:</t>
  </si>
  <si>
    <t>Swine</t>
  </si>
  <si>
    <t>Broiler</t>
  </si>
  <si>
    <t>Egg Layer</t>
  </si>
  <si>
    <r>
      <t>This database has a set of spreadsheets for each individual livestock system. The first spreadsheet listed for each livestock system formulates the corresponding Flock or Herd Structure. To edit the database to model a specific study area population structure, enter data into the</t>
    </r>
    <r>
      <rPr>
        <sz val="11"/>
        <color rgb="FF00B050"/>
        <rFont val="Calibri"/>
        <family val="2"/>
        <scheme val="minor"/>
      </rPr>
      <t xml:space="preserve"> </t>
    </r>
    <r>
      <rPr>
        <b/>
        <sz val="11"/>
        <color rgb="FF00B050"/>
        <rFont val="Calibri"/>
        <family val="2"/>
        <scheme val="minor"/>
      </rPr>
      <t>green</t>
    </r>
    <r>
      <rPr>
        <sz val="11"/>
        <color rgb="FF00B050"/>
        <rFont val="Calibri"/>
        <family val="2"/>
        <scheme val="minor"/>
      </rPr>
      <t xml:space="preserve"> </t>
    </r>
    <r>
      <rPr>
        <sz val="11"/>
        <color theme="1"/>
        <rFont val="Calibri"/>
        <family val="2"/>
        <scheme val="minor"/>
      </rPr>
      <t>cells on each Flock or Herd sheet. The remainder of the flock or herd will then be automatically calculated in the</t>
    </r>
    <r>
      <rPr>
        <b/>
        <sz val="11"/>
        <color theme="1"/>
        <rFont val="Calibri"/>
        <family val="2"/>
        <scheme val="minor"/>
      </rPr>
      <t xml:space="preserve"> </t>
    </r>
    <r>
      <rPr>
        <b/>
        <sz val="11"/>
        <color theme="5" tint="0.39997558519241921"/>
        <rFont val="Calibri"/>
        <family val="2"/>
        <scheme val="minor"/>
      </rPr>
      <t>red</t>
    </r>
    <r>
      <rPr>
        <sz val="11"/>
        <color theme="5" tint="0.39997558519241921"/>
        <rFont val="Calibri"/>
        <family val="2"/>
        <scheme val="minor"/>
      </rPr>
      <t xml:space="preserve"> </t>
    </r>
    <r>
      <rPr>
        <sz val="11"/>
        <color theme="1"/>
        <rFont val="Calibri"/>
        <family val="2"/>
        <scheme val="minor"/>
      </rPr>
      <t xml:space="preserve">cells. </t>
    </r>
  </si>
  <si>
    <t>Feed Consumed within Study Area</t>
  </si>
  <si>
    <t>Crop Phosphorus Balance</t>
  </si>
  <si>
    <t>Harvested Area</t>
  </si>
  <si>
    <t>Total 
Fertilizer Applied</t>
  </si>
  <si>
    <r>
      <t xml:space="preserve">Average Yield </t>
    </r>
    <r>
      <rPr>
        <b/>
        <vertAlign val="superscript"/>
        <sz val="11"/>
        <color theme="1"/>
        <rFont val="Calibri"/>
        <family val="2"/>
        <scheme val="minor"/>
      </rPr>
      <t>1</t>
    </r>
  </si>
  <si>
    <t>Mass of Crop</t>
  </si>
  <si>
    <t>Total 
P Uptake</t>
  </si>
  <si>
    <r>
      <t>P</t>
    </r>
    <r>
      <rPr>
        <b/>
        <vertAlign val="subscript"/>
        <sz val="11"/>
        <color theme="1"/>
        <rFont val="Calibri"/>
        <family val="2"/>
        <scheme val="minor"/>
      </rPr>
      <t>use</t>
    </r>
    <r>
      <rPr>
        <b/>
        <sz val="11"/>
        <color theme="1"/>
        <rFont val="Calibri"/>
        <family val="2"/>
        <scheme val="minor"/>
      </rPr>
      <t xml:space="preserve"> Efficiency</t>
    </r>
  </si>
  <si>
    <t>Reference for Default Fertilizer &amp; Manure Application</t>
  </si>
  <si>
    <t>lbs P/ Study Area</t>
  </si>
  <si>
    <t>ton / acre</t>
  </si>
  <si>
    <t>lbs P / Study Area</t>
  </si>
  <si>
    <t>% P DM</t>
  </si>
  <si>
    <t>unit/acre</t>
  </si>
  <si>
    <t>lbs/unit</t>
  </si>
  <si>
    <t>lbs/Study Area</t>
  </si>
  <si>
    <t>P uptake/ P applied</t>
  </si>
  <si>
    <t>Total Corn</t>
  </si>
  <si>
    <t>ARMS, 2010</t>
  </si>
  <si>
    <t>The fertilizer and manure application rates and percentage of land area applied is specific for Minnesota. If data was not available, other Midwest agriculture values were applied.</t>
  </si>
  <si>
    <t>Corn Silage</t>
  </si>
  <si>
    <t>x</t>
  </si>
  <si>
    <t>References for these sources include:</t>
  </si>
  <si>
    <t>ARMS, 2005</t>
  </si>
  <si>
    <t>USDA. 2013. ARMS farm financial and crop production practices. http://www.ers.usda.gov/data-products/arms-farm-financial-and-crop-production-practices/tailored-reports.aspx (accessed 4 Feb 2013).</t>
  </si>
  <si>
    <t>Soybean</t>
  </si>
  <si>
    <t>ARMS, 2006</t>
  </si>
  <si>
    <t>ARMS, 2009</t>
  </si>
  <si>
    <t>Hergert, G.W., G.D. Binford, and J.M. Blumenthal. 2000. Sunflower. In: R.B. Ferguson and K.M DeGroot, editors, Nurtient management for agronomic crops in Nebraska.  University of Nebraska, Lincoln. P 131-134.</t>
  </si>
  <si>
    <t>All Hay</t>
  </si>
  <si>
    <t>ton</t>
  </si>
  <si>
    <t>Kaiser, D.E. and J.A. Lamb. 2013. Fertilizing edible bean in Minnesota. University of Minnesota Extension. St. Paul. AG-FO-06572-B.</t>
  </si>
  <si>
    <t>Beans</t>
  </si>
  <si>
    <t>Kaiser and Lamb, 2013</t>
  </si>
  <si>
    <t>Kaiser, D.E., J.A. Lamb, and R. Eliason. 2011. Canola. University of Minnesota Extension. St. Paul.</t>
  </si>
  <si>
    <t>Canola</t>
  </si>
  <si>
    <t>Kaiser et al., 2011</t>
  </si>
  <si>
    <t>National Agricultural Statistics Services (NASS). 2011. Crop production data available at:  www.nass.usda.gov/ (accessed 9 July 2013).</t>
  </si>
  <si>
    <t>Sunflower</t>
  </si>
  <si>
    <t>Hergert et al., 2000</t>
  </si>
  <si>
    <t>Barley</t>
  </si>
  <si>
    <t>ARMS, 2003</t>
  </si>
  <si>
    <t>Crop uptake values were calculated using:</t>
  </si>
  <si>
    <t>Potatoes</t>
  </si>
  <si>
    <t>Ketterings, Q., and K. Czymmek. 2007. Removal of phosphorus by field crops. Agronomy Fact Sheet Series Fact Sheet 28, Cornell University Cooperative Extension, Ithaca, NY.</t>
  </si>
  <si>
    <t>Sugar Beets</t>
  </si>
  <si>
    <t>ARMS, 2000</t>
  </si>
  <si>
    <r>
      <rPr>
        <vertAlign val="superscript"/>
        <sz val="11"/>
        <color theme="1"/>
        <rFont val="Calibri"/>
        <family val="2"/>
        <scheme val="minor"/>
      </rPr>
      <t>1</t>
    </r>
    <r>
      <rPr>
        <sz val="11"/>
        <color theme="1"/>
        <rFont val="Calibri"/>
        <family val="2"/>
        <scheme val="minor"/>
      </rPr>
      <t xml:space="preserve"> The averages provided here are from 2010-2012:</t>
    </r>
  </si>
  <si>
    <t>Total Fertilizer P Applied (lbs)/ Study Area</t>
  </si>
  <si>
    <t>Total Manure P Applied  (lbs)/ Study Area</t>
  </si>
  <si>
    <t xml:space="preserve">    Total P Uptake by Harvested Crops (lbs)</t>
  </si>
  <si>
    <t xml:space="preserve">USDA. 2013. Crop Production 2010 Summary. ISSN: 1057-7823. NASS. Washington, D.C. </t>
  </si>
  <si>
    <t>Estimated</t>
  </si>
  <si>
    <t xml:space="preserve">Dairy </t>
  </si>
  <si>
    <t>Manure P</t>
  </si>
  <si>
    <t xml:space="preserve">      Total P Applied / Study Area (lbs)</t>
  </si>
  <si>
    <t>Average Manure P used in calculations</t>
  </si>
  <si>
    <r>
      <t>P</t>
    </r>
    <r>
      <rPr>
        <b/>
        <vertAlign val="subscript"/>
        <sz val="14"/>
        <color theme="1"/>
        <rFont val="Calibri"/>
        <family val="2"/>
        <scheme val="minor"/>
      </rPr>
      <t>use</t>
    </r>
    <r>
      <rPr>
        <b/>
        <sz val="14"/>
        <color theme="1"/>
        <rFont val="Calibri"/>
        <family val="2"/>
        <scheme val="minor"/>
      </rPr>
      <t xml:space="preserve"> Efficiency</t>
    </r>
  </si>
  <si>
    <t>Annual Herd Feed Consumption</t>
  </si>
  <si>
    <t>with milk</t>
  </si>
  <si>
    <t>without milk</t>
  </si>
  <si>
    <t>Tons Feed (DM)</t>
  </si>
  <si>
    <t>Imported</t>
  </si>
  <si>
    <t>Produced in Study Area</t>
  </si>
  <si>
    <t>Study Area Produced Feed</t>
  </si>
  <si>
    <t>Transfers</t>
  </si>
  <si>
    <t>Molasses</t>
  </si>
  <si>
    <r>
      <t xml:space="preserve">Supplement </t>
    </r>
    <r>
      <rPr>
        <i/>
        <sz val="11"/>
        <color theme="1"/>
        <rFont val="Calibri"/>
        <family val="2"/>
        <scheme val="minor"/>
      </rPr>
      <t>( Dicalcium phosphate, Salts, etc.)</t>
    </r>
  </si>
  <si>
    <t>Dairy Beef and Exported Steer Calves</t>
  </si>
  <si>
    <t>Total (tons)</t>
  </si>
  <si>
    <t>------------   kg   -------------</t>
  </si>
  <si>
    <t>------------   Mg   -------------</t>
  </si>
  <si>
    <t>Wet year</t>
  </si>
  <si>
    <t>kg P-yr</t>
  </si>
  <si>
    <t>Dry year</t>
  </si>
  <si>
    <t>Atmospheric Deposition</t>
  </si>
  <si>
    <t>Detailed assessment of phosphorus sources to Minnesota watershed-atmospheric deposition:2007 unpublished data, Barr Engineering.</t>
  </si>
  <si>
    <t>Atmospheric Deposition values were calculated using:</t>
  </si>
  <si>
    <t>The approximate deposition values are wet (average year) = 0.198 kg P/ha-yr and dry (for agriculture), 0.27 kg P/ha-yr, a total of 0.47 kg P/ha-yr.</t>
  </si>
  <si>
    <t>kg P/ha-yr</t>
  </si>
  <si>
    <t>Dry agricultural deposition</t>
  </si>
  <si>
    <t>Average year wet deposition</t>
  </si>
  <si>
    <t>Total Wet and Dry Deposition</t>
  </si>
  <si>
    <t>Study Area</t>
  </si>
  <si>
    <t>hectares</t>
  </si>
  <si>
    <t>Total Atmospheric P Deposition</t>
  </si>
  <si>
    <t>Including Atmospheric Deposition as an import</t>
  </si>
  <si>
    <t>Whole Agricultural P Balance</t>
  </si>
  <si>
    <t>To get started using the Agricultural Phosphorus Balance Calculator:</t>
  </si>
  <si>
    <t>Layer Feed Consumption</t>
  </si>
  <si>
    <t>Broiler Feed Consumption</t>
  </si>
  <si>
    <t>------------   lbs  P  -------------</t>
  </si>
  <si>
    <t>------------   tons   P -------------</t>
  </si>
  <si>
    <t>Import</t>
  </si>
  <si>
    <t xml:space="preserve">Feed Imports </t>
  </si>
  <si>
    <r>
      <t>Agricultural P</t>
    </r>
    <r>
      <rPr>
        <b/>
        <vertAlign val="subscript"/>
        <sz val="11"/>
        <color theme="1"/>
        <rFont val="Calibri"/>
        <family val="2"/>
        <scheme val="minor"/>
      </rPr>
      <t>Efficiency</t>
    </r>
  </si>
  <si>
    <t>Imported feed is calculated by typing in the fields corresponding to the feed not produced within the study area, or feed that needs to undergo processing prior to distribution to livestock.</t>
  </si>
  <si>
    <t>Default Formulas</t>
  </si>
  <si>
    <r>
      <t xml:space="preserve">To account for the reproduction herd, type in </t>
    </r>
    <r>
      <rPr>
        <b/>
        <sz val="11"/>
        <color rgb="FF00B050"/>
        <rFont val="Calibri"/>
        <family val="2"/>
        <scheme val="minor"/>
      </rPr>
      <t>Yes</t>
    </r>
    <r>
      <rPr>
        <b/>
        <sz val="11"/>
        <color theme="1"/>
        <rFont val="Calibri"/>
        <family val="2"/>
        <scheme val="minor"/>
      </rPr>
      <t xml:space="preserve"> if poults are hatched within the study area.</t>
    </r>
  </si>
  <si>
    <t>Young Turkeys Produced</t>
  </si>
  <si>
    <t>YES</t>
  </si>
  <si>
    <t>Broilers Produced</t>
  </si>
  <si>
    <t>The dairy steer calves that are imported into the watershed for beef production after birth are modeled to start feeding on milk replacer.</t>
  </si>
  <si>
    <t>Offsite disposal: 4% of calf and 7.3% of cattle mortalities are landfilled; 4.4% of calf and 2.9% of cattle mortalities are rendered.</t>
  </si>
  <si>
    <t>Total Phosphorus Import</t>
  </si>
  <si>
    <t xml:space="preserve">Total Phosphorus Export </t>
  </si>
  <si>
    <t>Total Phosphorus Export</t>
  </si>
  <si>
    <t>Poults Imported</t>
  </si>
  <si>
    <r>
      <t>If poults are bred and hatched within the study area (</t>
    </r>
    <r>
      <rPr>
        <b/>
        <i/>
        <sz val="11"/>
        <color theme="1"/>
        <rFont val="Calibri"/>
        <family val="2"/>
        <scheme val="minor"/>
      </rPr>
      <t>User enters YES into Cell "C18"</t>
    </r>
    <r>
      <rPr>
        <b/>
        <sz val="11"/>
        <color theme="1"/>
        <rFont val="Calibri"/>
        <family val="2"/>
        <scheme val="minor"/>
      </rPr>
      <t>), the poults imported value will be "0".</t>
    </r>
  </si>
  <si>
    <t>Poult or Breeder Input</t>
  </si>
  <si>
    <t xml:space="preserve">Rendered product included any unhatched breeder eggs (annually 15 per layer), hatchery egg shells and culled breeders. </t>
  </si>
  <si>
    <t>Beef Rendered</t>
  </si>
  <si>
    <t>Poults or Breeder Inputs</t>
  </si>
  <si>
    <t xml:space="preserve">Turkey Rendered </t>
  </si>
  <si>
    <t>Broiler Disposal</t>
  </si>
  <si>
    <t>Beef Landfilled</t>
  </si>
  <si>
    <t>Beef Composted</t>
  </si>
  <si>
    <t>USDA. 2011c. National Nutrient Database for Standard Reference, Release 24. Nutrient Data Laboratory Home Page. http://www.ars.usda.gov/ba/bhnrc/ndl (accessed 6  June 2014).</t>
  </si>
  <si>
    <t>Milk P composition is 93 mg P per 100 g of milk.</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</si>
</sst>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0_);_(* \(#,##0\);_(* &quot;-&quot;??_);_(@_)"/>
    <numFmt numFmtId="165" formatCode="_(* #,##0.000_);_(* \(#,##0.000\);_(* &quot;-&quot;??_);_(@_)"/>
    <numFmt numFmtId="166" formatCode="#,##0.000_);\(#,##0.000\)"/>
    <numFmt numFmtId="167" formatCode="0.000"/>
    <numFmt numFmtId="168" formatCode="0.0%"/>
    <numFmt numFmtId="169" formatCode="_(* #,##0.0_);_(* \(#,##0.0\);_(* &quot;-&quot;??_);_(@_)"/>
    <numFmt numFmtId="170" formatCode="[$-409]d\-mmm;@"/>
    <numFmt numFmtId="171" formatCode="&quot;$&quot;#,##0.00"/>
    <numFmt numFmtId="172" formatCode="0.0"/>
    <numFmt numFmtId="173" formatCode="0.0000"/>
    <numFmt numFmtId="174" formatCode="_(* #,##0.0000_);_(* \(#,##0.0000\);_(* &quot;-&quot;??_);_(@_)"/>
    <numFmt numFmtId="175" formatCode="#,##0.0"/>
    <numFmt numFmtId="176" formatCode="0.00000"/>
    <numFmt numFmtId="177" formatCode="0.0000000"/>
    <numFmt numFmtId="178" formatCode="#,##0.0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b/>
      <vertAlign val="subscript"/>
      <sz val="11"/>
      <color theme="1"/>
      <name val="Calibri"/>
      <family val="2"/>
      <scheme val="minor"/>
    </font>
    <font>
      <b/>
      <vertAlign val="subscript"/>
      <sz val="11"/>
      <name val="Calibri"/>
      <family val="2"/>
      <scheme val="minor"/>
    </font>
    <font>
      <i/>
      <sz val="10"/>
      <color theme="1"/>
      <name val="Calibri"/>
      <family val="2"/>
      <scheme val="minor"/>
    </font>
    <font>
      <sz val="10"/>
      <color theme="1"/>
      <name val="Calibri"/>
      <family val="2"/>
      <scheme val="minor"/>
    </font>
    <font>
      <i/>
      <sz val="10"/>
      <name val="Calibri"/>
      <family val="2"/>
      <scheme val="minor"/>
    </font>
    <font>
      <b/>
      <i/>
      <sz val="10"/>
      <color theme="1"/>
      <name val="Calibri"/>
      <family val="2"/>
      <scheme val="minor"/>
    </font>
    <font>
      <b/>
      <sz val="11"/>
      <color theme="3"/>
      <name val="Calibri"/>
      <family val="2"/>
      <scheme val="minor"/>
    </font>
    <font>
      <b/>
      <sz val="10"/>
      <color theme="1"/>
      <name val="Calibri"/>
      <family val="2"/>
      <scheme val="minor"/>
    </font>
    <font>
      <i/>
      <vertAlign val="subscript"/>
      <sz val="10"/>
      <color theme="1"/>
      <name val="Calibri"/>
      <family val="2"/>
      <scheme val="minor"/>
    </font>
    <font>
      <i/>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color rgb="FF006100"/>
      <name val="Calibri"/>
      <family val="2"/>
      <scheme val="minor"/>
    </font>
    <font>
      <sz val="11"/>
      <color rgb="FF9C0006"/>
      <name val="Calibri"/>
      <family val="2"/>
      <scheme val="minor"/>
    </font>
    <font>
      <vertAlign val="superscript"/>
      <sz val="11"/>
      <color theme="1"/>
      <name val="Calibri"/>
      <family val="2"/>
      <scheme val="minor"/>
    </font>
    <font>
      <sz val="9"/>
      <color rgb="FF5D4A39"/>
      <name val="Arial"/>
      <family val="2"/>
    </font>
    <font>
      <sz val="19"/>
      <color rgb="FFFF0000"/>
      <name val="Calibri"/>
      <family val="2"/>
      <scheme val="minor"/>
    </font>
    <font>
      <b/>
      <sz val="11"/>
      <color rgb="FFFA7D00"/>
      <name val="Calibri"/>
      <family val="2"/>
      <scheme val="minor"/>
    </font>
    <font>
      <b/>
      <vertAlign val="superscript"/>
      <sz val="11"/>
      <color theme="1"/>
      <name val="Calibri"/>
      <family val="2"/>
      <scheme val="minor"/>
    </font>
    <font>
      <i/>
      <vertAlign val="superscript"/>
      <sz val="11"/>
      <color theme="1"/>
      <name val="Calibri"/>
      <family val="2"/>
      <scheme val="minor"/>
    </font>
    <font>
      <sz val="11"/>
      <color rgb="FF000000"/>
      <name val="Calibri"/>
      <family val="2"/>
      <scheme val="minor"/>
    </font>
    <font>
      <u/>
      <sz val="11"/>
      <color theme="10"/>
      <name val="Calibri"/>
      <family val="2"/>
      <scheme val="minor"/>
    </font>
    <font>
      <sz val="10"/>
      <name val="Arial"/>
      <family val="2"/>
    </font>
    <font>
      <u/>
      <sz val="9"/>
      <color indexed="12"/>
      <name val="Arial"/>
      <family val="2"/>
    </font>
    <font>
      <sz val="12"/>
      <color rgb="FF000000"/>
      <name val="Calibri"/>
      <family val="2"/>
      <scheme val="minor"/>
    </font>
    <font>
      <sz val="9"/>
      <color rgb="FF111111"/>
      <name val="Inherit"/>
    </font>
    <font>
      <sz val="11"/>
      <color rgb="FF9C6500"/>
      <name val="Calibri"/>
      <family val="2"/>
      <scheme val="minor"/>
    </font>
    <font>
      <b/>
      <sz val="14"/>
      <color theme="1"/>
      <name val="Calibri"/>
      <family val="2"/>
      <scheme val="minor"/>
    </font>
    <font>
      <sz val="10"/>
      <name val="Arial"/>
      <family val="2"/>
    </font>
    <font>
      <u/>
      <sz val="9"/>
      <color indexed="12"/>
      <name val="Arial"/>
      <family val="2"/>
    </font>
    <font>
      <i/>
      <u/>
      <sz val="11"/>
      <color theme="10"/>
      <name val="Calibri"/>
      <family val="2"/>
      <scheme val="minor"/>
    </font>
    <font>
      <b/>
      <u/>
      <sz val="11"/>
      <color theme="1"/>
      <name val="Calibri"/>
      <family val="2"/>
      <scheme val="minor"/>
    </font>
    <font>
      <i/>
      <sz val="11"/>
      <name val="Calibri"/>
      <family val="2"/>
      <scheme val="minor"/>
    </font>
    <font>
      <b/>
      <i/>
      <sz val="11"/>
      <color theme="1"/>
      <name val="Calibri"/>
      <family val="2"/>
      <scheme val="minor"/>
    </font>
    <font>
      <sz val="11"/>
      <color theme="0" tint="-0.14999847407452621"/>
      <name val="Calibri"/>
      <family val="2"/>
      <scheme val="minor"/>
    </font>
    <font>
      <b/>
      <sz val="11"/>
      <color rgb="FFFF9900"/>
      <name val="Calibri"/>
      <family val="2"/>
      <scheme val="minor"/>
    </font>
    <font>
      <sz val="11"/>
      <color rgb="FFFF9900"/>
      <name val="Calibri"/>
      <family val="2"/>
      <scheme val="minor"/>
    </font>
    <font>
      <b/>
      <sz val="11"/>
      <color theme="5" tint="0.39997558519241921"/>
      <name val="Calibri"/>
      <family val="2"/>
      <scheme val="minor"/>
    </font>
    <font>
      <b/>
      <sz val="11"/>
      <color theme="9"/>
      <name val="Calibri"/>
      <family val="2"/>
      <scheme val="minor"/>
    </font>
    <font>
      <sz val="11"/>
      <color theme="9"/>
      <name val="Calibri"/>
      <family val="2"/>
      <scheme val="minor"/>
    </font>
    <font>
      <sz val="10"/>
      <color rgb="FF404041"/>
      <name val="Arial"/>
      <family val="2"/>
    </font>
    <font>
      <i/>
      <sz val="11"/>
      <color rgb="FF111111"/>
      <name val="Calibri"/>
      <family val="2"/>
      <scheme val="minor"/>
    </font>
    <font>
      <sz val="14"/>
      <color theme="1"/>
      <name val="Calibri"/>
      <family val="2"/>
      <scheme val="minor"/>
    </font>
    <font>
      <b/>
      <sz val="16"/>
      <color theme="1"/>
      <name val="Calibri"/>
      <family val="2"/>
      <scheme val="minor"/>
    </font>
    <font>
      <sz val="11"/>
      <color theme="1"/>
      <name val="Calibri"/>
      <family val="2"/>
    </font>
    <font>
      <b/>
      <sz val="11"/>
      <color rgb="FFFF0000"/>
      <name val="Calibri"/>
      <family val="2"/>
      <scheme val="minor"/>
    </font>
    <font>
      <b/>
      <sz val="11"/>
      <color rgb="FF00B050"/>
      <name val="Calibri"/>
      <family val="2"/>
      <scheme val="minor"/>
    </font>
    <font>
      <sz val="11"/>
      <color rgb="FF00B050"/>
      <name val="Calibri"/>
      <family val="2"/>
      <scheme val="minor"/>
    </font>
    <font>
      <sz val="11"/>
      <color theme="5" tint="0.39997558519241921"/>
      <name val="Calibri"/>
      <family val="2"/>
      <scheme val="minor"/>
    </font>
    <font>
      <b/>
      <sz val="11"/>
      <color theme="0" tint="-0.499984740745262"/>
      <name val="Calibri"/>
      <family val="2"/>
      <scheme val="minor"/>
    </font>
    <font>
      <sz val="11"/>
      <color theme="0" tint="-0.499984740745262"/>
      <name val="Calibri"/>
      <family val="2"/>
      <scheme val="minor"/>
    </font>
    <font>
      <b/>
      <vertAlign val="subscript"/>
      <sz val="14"/>
      <color theme="1"/>
      <name val="Calibri"/>
      <family val="2"/>
      <scheme val="minor"/>
    </font>
  </fonts>
  <fills count="40">
    <fill>
      <patternFill patternType="none"/>
    </fill>
    <fill>
      <patternFill patternType="gray125"/>
    </fill>
    <fill>
      <patternFill patternType="solid">
        <fgColor theme="8" tint="0.39997558519241921"/>
        <bgColor indexed="64"/>
      </patternFill>
    </fill>
    <fill>
      <patternFill patternType="solid">
        <fgColor rgb="FFFF0000"/>
        <bgColor indexed="64"/>
      </patternFill>
    </fill>
    <fill>
      <patternFill patternType="solid">
        <fgColor rgb="FFFF9900"/>
        <bgColor indexed="64"/>
      </patternFill>
    </fill>
    <fill>
      <patternFill patternType="solid">
        <fgColor rgb="FFCC00FF"/>
        <bgColor indexed="64"/>
      </patternFill>
    </fill>
    <fill>
      <patternFill patternType="solid">
        <fgColor rgb="FF6666FF"/>
        <bgColor indexed="64"/>
      </patternFill>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rgb="FFA5A5A5"/>
      </patternFill>
    </fill>
    <fill>
      <patternFill patternType="solid">
        <fgColor theme="3" tint="0.79998168889431442"/>
        <bgColor indexed="64"/>
      </patternFill>
    </fill>
    <fill>
      <patternFill patternType="solid">
        <fgColor rgb="FFFF99FF"/>
        <bgColor indexed="64"/>
      </patternFill>
    </fill>
    <fill>
      <patternFill patternType="solid">
        <fgColor rgb="FF92D05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CFF"/>
        <bgColor indexed="64"/>
      </patternFill>
    </fill>
    <fill>
      <patternFill patternType="solid">
        <fgColor rgb="FFFFFF66"/>
        <bgColor indexed="64"/>
      </patternFill>
    </fill>
    <fill>
      <patternFill patternType="solid">
        <fgColor rgb="FF00FFCC"/>
        <bgColor indexed="64"/>
      </patternFill>
    </fill>
    <fill>
      <patternFill patternType="solid">
        <fgColor rgb="FFCC0099"/>
        <bgColor indexed="64"/>
      </patternFill>
    </fill>
    <fill>
      <patternFill patternType="solid">
        <fgColor theme="1"/>
        <bgColor indexed="64"/>
      </patternFill>
    </fill>
    <fill>
      <patternFill patternType="solid">
        <fgColor rgb="FFFF999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EB9C"/>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DCDB9D"/>
        <bgColor indexed="64"/>
      </patternFill>
    </fill>
    <fill>
      <patternFill patternType="solid">
        <fgColor theme="2" tint="-0.249977111117893"/>
        <bgColor indexed="64"/>
      </patternFill>
    </fill>
    <fill>
      <patternFill patternType="solid">
        <fgColor theme="8" tint="0.59999389629810485"/>
        <bgColor indexed="64"/>
      </patternFill>
    </fill>
  </fills>
  <borders count="1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rgb="FF3F3F3F"/>
      </left>
      <right style="medium">
        <color auto="1"/>
      </right>
      <top style="thin">
        <color rgb="FF3F3F3F"/>
      </top>
      <bottom style="thin">
        <color rgb="FF3F3F3F"/>
      </bottom>
      <diagonal/>
    </border>
    <border>
      <left style="medium">
        <color auto="1"/>
      </left>
      <right/>
      <top/>
      <bottom style="medium">
        <color auto="1"/>
      </bottom>
      <diagonal/>
    </border>
    <border>
      <left style="thin">
        <color rgb="FF3F3F3F"/>
      </left>
      <right style="thin">
        <color rgb="FF3F3F3F"/>
      </right>
      <top style="thin">
        <color rgb="FF3F3F3F"/>
      </top>
      <bottom style="medium">
        <color auto="1"/>
      </bottom>
      <diagonal/>
    </border>
    <border>
      <left style="thin">
        <color rgb="FF3F3F3F"/>
      </left>
      <right style="medium">
        <color auto="1"/>
      </right>
      <top style="thin">
        <color rgb="FF3F3F3F"/>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right/>
      <top/>
      <bottom style="double">
        <color auto="1"/>
      </bottom>
      <diagonal/>
    </border>
    <border>
      <left style="thin">
        <color rgb="FF3F3F3F"/>
      </left>
      <right style="thin">
        <color rgb="FF3F3F3F"/>
      </right>
      <top/>
      <bottom style="thin">
        <color rgb="FF3F3F3F"/>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rgb="FF7F7F7F"/>
      </right>
      <top style="thin">
        <color rgb="FF7F7F7F"/>
      </top>
      <bottom style="thin">
        <color rgb="FF7F7F7F"/>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style="double">
        <color auto="1"/>
      </right>
      <top style="thin">
        <color auto="1"/>
      </top>
      <bottom/>
      <diagonal/>
    </border>
    <border>
      <left/>
      <right style="double">
        <color auto="1"/>
      </right>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top/>
      <bottom style="medium">
        <color auto="1"/>
      </bottom>
      <diagonal/>
    </border>
    <border>
      <left style="thin">
        <color rgb="FF7F7F7F"/>
      </left>
      <right style="thin">
        <color rgb="FF7F7F7F"/>
      </right>
      <top/>
      <bottom/>
      <diagonal/>
    </border>
    <border>
      <left/>
      <right style="thin">
        <color auto="1"/>
      </right>
      <top/>
      <bottom style="medium">
        <color auto="1"/>
      </bottom>
      <diagonal/>
    </border>
    <border>
      <left style="thin">
        <color auto="1"/>
      </left>
      <right style="double">
        <color auto="1"/>
      </right>
      <top style="thin">
        <color auto="1"/>
      </top>
      <bottom style="medium">
        <color auto="1"/>
      </bottom>
      <diagonal/>
    </border>
    <border>
      <left/>
      <right style="thin">
        <color auto="1"/>
      </right>
      <top/>
      <bottom style="thin">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style="double">
        <color auto="1"/>
      </right>
      <top/>
      <bottom style="medium">
        <color auto="1"/>
      </bottom>
      <diagonal/>
    </border>
    <border>
      <left style="thin">
        <color rgb="FF7F7F7F"/>
      </left>
      <right style="thin">
        <color rgb="FF7F7F7F"/>
      </right>
      <top style="medium">
        <color auto="1"/>
      </top>
      <bottom/>
      <diagonal/>
    </border>
    <border>
      <left/>
      <right/>
      <top/>
      <bottom style="medium">
        <color theme="4" tint="0.39997558519241921"/>
      </bottom>
      <diagonal/>
    </border>
    <border>
      <left/>
      <right style="thin">
        <color auto="1"/>
      </right>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theme="4" tint="0.39997558519241921"/>
      </bottom>
      <diagonal/>
    </border>
    <border>
      <left/>
      <right style="double">
        <color auto="1"/>
      </right>
      <top style="medium">
        <color auto="1"/>
      </top>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thin">
        <color auto="1"/>
      </left>
      <right style="thin">
        <color auto="1"/>
      </right>
      <top/>
      <bottom/>
      <diagonal/>
    </border>
    <border>
      <left style="thin">
        <color auto="1"/>
      </left>
      <right style="double">
        <color auto="1"/>
      </right>
      <top/>
      <bottom/>
      <diagonal/>
    </border>
    <border>
      <left style="thin">
        <color auto="1"/>
      </left>
      <right style="double">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style="medium">
        <color auto="1"/>
      </right>
      <top/>
      <bottom/>
      <diagonal/>
    </border>
    <border>
      <left/>
      <right/>
      <top style="medium">
        <color auto="1"/>
      </top>
      <bottom style="thin">
        <color auto="1"/>
      </bottom>
      <diagonal/>
    </border>
    <border>
      <left style="medium">
        <color auto="1"/>
      </left>
      <right/>
      <top style="medium">
        <color auto="1"/>
      </top>
      <bottom style="medium">
        <color auto="1"/>
      </bottom>
      <diagonal/>
    </border>
    <border>
      <left style="thin">
        <color auto="1"/>
      </left>
      <right style="double">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top/>
      <bottom style="mediumDashed">
        <color auto="1"/>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thin">
        <color rgb="FFFFFF00"/>
      </left>
      <right/>
      <top/>
      <bottom/>
      <diagonal/>
    </border>
    <border>
      <left style="medium">
        <color rgb="FFFFFF00"/>
      </left>
      <right style="medium">
        <color rgb="FFFFFF00"/>
      </right>
      <top style="medium">
        <color rgb="FFFFFF00"/>
      </top>
      <bottom style="medium">
        <color rgb="FFFFFF00"/>
      </bottom>
      <diagonal/>
    </border>
    <border>
      <left style="medium">
        <color rgb="FFFFFF00"/>
      </left>
      <right style="medium">
        <color rgb="FFFFFF00"/>
      </right>
      <top/>
      <bottom style="medium">
        <color rgb="FFFFFF00"/>
      </bottom>
      <diagonal/>
    </border>
    <border>
      <left style="thin">
        <color rgb="FF3F3F3F"/>
      </left>
      <right style="thin">
        <color auto="1"/>
      </right>
      <top style="double">
        <color auto="1"/>
      </top>
      <bottom style="thin">
        <color rgb="FF3F3F3F"/>
      </bottom>
      <diagonal/>
    </border>
    <border>
      <left style="thin">
        <color rgb="FF3F3F3F"/>
      </left>
      <right style="thin">
        <color auto="1"/>
      </right>
      <top style="thin">
        <color rgb="FF3F3F3F"/>
      </top>
      <bottom style="thin">
        <color rgb="FF3F3F3F"/>
      </bottom>
      <diagonal/>
    </border>
    <border>
      <left style="double">
        <color rgb="FF3F3F3F"/>
      </left>
      <right style="double">
        <color rgb="FF3F3F3F"/>
      </right>
      <top style="double">
        <color rgb="FF3F3F3F"/>
      </top>
      <bottom style="double">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top style="double">
        <color auto="1"/>
      </top>
      <bottom style="medium">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top style="thin">
        <color auto="1"/>
      </top>
      <bottom style="thin">
        <color auto="1"/>
      </bottom>
      <diagonal/>
    </border>
  </borders>
  <cellStyleXfs count="24">
    <xf numFmtId="0" fontId="0" fillId="0" borderId="0"/>
    <xf numFmtId="43" fontId="1" fillId="0" borderId="0" applyFont="0" applyFill="0" applyBorder="0" applyAlignment="0" applyProtection="0"/>
    <xf numFmtId="0" fontId="3" fillId="7" borderId="3" applyNumberFormat="0" applyAlignment="0" applyProtection="0"/>
    <xf numFmtId="0" fontId="4" fillId="8" borderId="4" applyNumberFormat="0" applyAlignment="0" applyProtection="0"/>
    <xf numFmtId="0" fontId="5" fillId="10" borderId="5" applyNumberFormat="0" applyAlignment="0" applyProtection="0"/>
    <xf numFmtId="9" fontId="1" fillId="0" borderId="0" applyFont="0" applyFill="0" applyBorder="0" applyAlignment="0" applyProtection="0"/>
    <xf numFmtId="0" fontId="15" fillId="0" borderId="58" applyNumberFormat="0" applyFill="0" applyAlignment="0" applyProtection="0"/>
    <xf numFmtId="0" fontId="22" fillId="25" borderId="0" applyNumberFormat="0" applyBorder="0" applyAlignment="0" applyProtection="0"/>
    <xf numFmtId="0" fontId="23" fillId="26" borderId="0" applyNumberFormat="0" applyBorder="0" applyAlignment="0" applyProtection="0"/>
    <xf numFmtId="0" fontId="27" fillId="8" borderId="3" applyNumberFormat="0" applyAlignment="0" applyProtection="0"/>
    <xf numFmtId="0" fontId="31" fillId="0" borderId="0" applyNumberForma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protection locked="0"/>
    </xf>
    <xf numFmtId="0" fontId="1" fillId="0" borderId="0"/>
    <xf numFmtId="0" fontId="32" fillId="0" borderId="0" applyBorder="0"/>
    <xf numFmtId="9" fontId="1" fillId="0" borderId="0" applyFont="0" applyFill="0" applyBorder="0" applyAlignment="0" applyProtection="0"/>
    <xf numFmtId="9" fontId="32" fillId="0" borderId="0" applyFont="0" applyFill="0" applyBorder="0" applyAlignment="0" applyProtection="0"/>
    <xf numFmtId="0" fontId="36" fillId="32" borderId="0" applyNumberFormat="0" applyBorder="0" applyAlignment="0" applyProtection="0"/>
    <xf numFmtId="0" fontId="38" fillId="0" borderId="0" applyBorder="0"/>
    <xf numFmtId="43" fontId="38" fillId="0" borderId="0" applyFont="0" applyFill="0" applyBorder="0" applyAlignment="0" applyProtection="0"/>
    <xf numFmtId="0" fontId="39" fillId="0" borderId="0" applyNumberFormat="0" applyFill="0" applyBorder="0" applyAlignment="0" applyProtection="0">
      <alignment vertical="top"/>
      <protection locked="0"/>
    </xf>
    <xf numFmtId="9" fontId="38" fillId="0" borderId="0" applyFont="0" applyFill="0" applyBorder="0" applyAlignment="0" applyProtection="0"/>
  </cellStyleXfs>
  <cellXfs count="1456">
    <xf numFmtId="0" fontId="0" fillId="0" borderId="0" xfId="0"/>
    <xf numFmtId="0" fontId="0" fillId="0" borderId="1" xfId="0" applyBorder="1"/>
    <xf numFmtId="164" fontId="0" fillId="3" borderId="1" xfId="1" applyNumberFormat="1" applyFont="1" applyFill="1" applyBorder="1"/>
    <xf numFmtId="0" fontId="0" fillId="0" borderId="2" xfId="0" applyBorder="1"/>
    <xf numFmtId="0" fontId="2" fillId="0" borderId="2" xfId="0" applyFont="1" applyBorder="1" applyAlignment="1">
      <alignment horizontal="center"/>
    </xf>
    <xf numFmtId="3" fontId="0" fillId="0" borderId="0" xfId="0" applyNumberFormat="1"/>
    <xf numFmtId="0" fontId="3" fillId="7" borderId="3" xfId="2"/>
    <xf numFmtId="0" fontId="4" fillId="8" borderId="4" xfId="3"/>
    <xf numFmtId="0" fontId="0" fillId="0" borderId="0" xfId="0" applyBorder="1"/>
    <xf numFmtId="164" fontId="0" fillId="6" borderId="1" xfId="1" applyNumberFormat="1" applyFont="1" applyFill="1" applyBorder="1"/>
    <xf numFmtId="164" fontId="0" fillId="2" borderId="1" xfId="1" applyNumberFormat="1" applyFont="1" applyFill="1"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8" borderId="4" xfId="3" applyBorder="1"/>
    <xf numFmtId="0" fontId="4" fillId="8" borderId="12" xfId="3" applyBorder="1"/>
    <xf numFmtId="0" fontId="0" fillId="0" borderId="13" xfId="0" applyBorder="1"/>
    <xf numFmtId="0" fontId="4" fillId="8" borderId="14" xfId="3" applyBorder="1"/>
    <xf numFmtId="0" fontId="4" fillId="8" borderId="15" xfId="3" applyBorder="1"/>
    <xf numFmtId="0" fontId="0" fillId="0" borderId="2" xfId="0" applyFill="1" applyBorder="1"/>
    <xf numFmtId="0" fontId="0" fillId="0" borderId="1" xfId="0" applyFill="1" applyBorder="1"/>
    <xf numFmtId="164" fontId="0" fillId="0" borderId="1" xfId="1" applyNumberFormat="1" applyFont="1" applyFill="1" applyBorder="1"/>
    <xf numFmtId="3" fontId="0" fillId="11" borderId="2" xfId="0" applyNumberFormat="1" applyFill="1" applyBorder="1"/>
    <xf numFmtId="0" fontId="0" fillId="0" borderId="2" xfId="0" applyBorder="1" applyAlignment="1">
      <alignment horizontal="center"/>
    </xf>
    <xf numFmtId="0" fontId="2" fillId="0" borderId="2" xfId="0" applyFont="1" applyBorder="1"/>
    <xf numFmtId="0" fontId="2" fillId="0" borderId="2" xfId="0" applyFont="1" applyFill="1" applyBorder="1"/>
    <xf numFmtId="164" fontId="6" fillId="15" borderId="1" xfId="1" applyNumberFormat="1" applyFont="1" applyFill="1" applyBorder="1"/>
    <xf numFmtId="164" fontId="6" fillId="5" borderId="1" xfId="1" applyNumberFormat="1" applyFont="1" applyFill="1" applyBorder="1"/>
    <xf numFmtId="164" fontId="6" fillId="0" borderId="1" xfId="1" applyNumberFormat="1" applyFont="1" applyFill="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164" fontId="0" fillId="4" borderId="20" xfId="1" applyNumberFormat="1" applyFont="1" applyFill="1" applyBorder="1"/>
    <xf numFmtId="164" fontId="0" fillId="0" borderId="19" xfId="1" applyNumberFormat="1" applyFont="1" applyFill="1" applyBorder="1"/>
    <xf numFmtId="164" fontId="0" fillId="0" borderId="20" xfId="1" applyNumberFormat="1" applyFont="1" applyFill="1" applyBorder="1"/>
    <xf numFmtId="164" fontId="6" fillId="15" borderId="19" xfId="1" applyNumberFormat="1" applyFont="1" applyFill="1" applyBorder="1"/>
    <xf numFmtId="164" fontId="6" fillId="5" borderId="19" xfId="1" applyNumberFormat="1" applyFont="1" applyFill="1" applyBorder="1"/>
    <xf numFmtId="164" fontId="0" fillId="16" borderId="21" xfId="1" applyNumberFormat="1" applyFont="1" applyFill="1" applyBorder="1"/>
    <xf numFmtId="164" fontId="0" fillId="16" borderId="22" xfId="1" applyNumberFormat="1" applyFont="1" applyFill="1" applyBorder="1"/>
    <xf numFmtId="164" fontId="0" fillId="5" borderId="2" xfId="1" applyNumberFormat="1" applyFont="1" applyFill="1" applyBorder="1"/>
    <xf numFmtId="164" fontId="0" fillId="9" borderId="20" xfId="1" applyNumberFormat="1" applyFont="1" applyFill="1" applyBorder="1"/>
    <xf numFmtId="0" fontId="0" fillId="0" borderId="19" xfId="0" applyBorder="1"/>
    <xf numFmtId="164" fontId="0" fillId="12" borderId="20" xfId="1" applyNumberFormat="1" applyFont="1" applyFill="1" applyBorder="1"/>
    <xf numFmtId="164" fontId="6" fillId="0" borderId="19" xfId="1" applyNumberFormat="1" applyFont="1" applyFill="1" applyBorder="1"/>
    <xf numFmtId="164" fontId="6" fillId="0" borderId="20" xfId="1" applyNumberFormat="1" applyFont="1" applyFill="1" applyBorder="1"/>
    <xf numFmtId="164" fontId="0" fillId="0" borderId="22" xfId="1" applyNumberFormat="1" applyFont="1" applyFill="1" applyBorder="1"/>
    <xf numFmtId="164" fontId="0" fillId="0" borderId="23" xfId="1" applyNumberFormat="1" applyFont="1" applyFill="1" applyBorder="1"/>
    <xf numFmtId="0" fontId="2" fillId="14" borderId="2" xfId="0" applyFont="1" applyFill="1" applyBorder="1"/>
    <xf numFmtId="0" fontId="0" fillId="0" borderId="19" xfId="0" applyFill="1" applyBorder="1"/>
    <xf numFmtId="0" fontId="0" fillId="0" borderId="21" xfId="0" applyFill="1" applyBorder="1"/>
    <xf numFmtId="0" fontId="0" fillId="0" borderId="22" xfId="0" applyFill="1" applyBorder="1"/>
    <xf numFmtId="0" fontId="0" fillId="11" borderId="0" xfId="0" applyFill="1"/>
    <xf numFmtId="0" fontId="0" fillId="12" borderId="0" xfId="0" applyFill="1"/>
    <xf numFmtId="0" fontId="2" fillId="0" borderId="0" xfId="0" applyFont="1" applyAlignment="1">
      <alignment horizontal="center"/>
    </xf>
    <xf numFmtId="0" fontId="5" fillId="10" borderId="5" xfId="4"/>
    <xf numFmtId="0" fontId="4" fillId="8" borderId="26" xfId="3" applyBorder="1"/>
    <xf numFmtId="0" fontId="0" fillId="0" borderId="25" xfId="0" applyBorder="1"/>
    <xf numFmtId="0" fontId="2" fillId="0" borderId="17" xfId="0" applyFont="1" applyFill="1" applyBorder="1" applyAlignment="1">
      <alignment horizontal="center"/>
    </xf>
    <xf numFmtId="0" fontId="2" fillId="0" borderId="1" xfId="0" applyFont="1" applyFill="1" applyBorder="1" applyAlignment="1">
      <alignment horizontal="center"/>
    </xf>
    <xf numFmtId="0" fontId="0" fillId="0" borderId="0" xfId="0" applyFill="1"/>
    <xf numFmtId="0" fontId="2" fillId="0" borderId="28" xfId="0" applyFont="1" applyFill="1" applyBorder="1" applyAlignment="1"/>
    <xf numFmtId="0" fontId="0" fillId="0" borderId="1" xfId="0" applyFont="1" applyFill="1" applyBorder="1" applyAlignment="1">
      <alignment horizontal="center"/>
    </xf>
    <xf numFmtId="164" fontId="2" fillId="0" borderId="1" xfId="1" applyNumberFormat="1" applyFont="1" applyFill="1" applyBorder="1"/>
    <xf numFmtId="0" fontId="0" fillId="0" borderId="17" xfId="0" applyFont="1" applyFill="1" applyBorder="1" applyAlignment="1">
      <alignment horizontal="center"/>
    </xf>
    <xf numFmtId="164" fontId="2" fillId="0" borderId="22" xfId="1" applyNumberFormat="1" applyFont="1" applyFill="1" applyBorder="1"/>
    <xf numFmtId="0" fontId="0" fillId="0" borderId="33" xfId="0" applyBorder="1"/>
    <xf numFmtId="164" fontId="7" fillId="0" borderId="1" xfId="1" applyNumberFormat="1" applyFont="1" applyFill="1" applyBorder="1"/>
    <xf numFmtId="0" fontId="0" fillId="0" borderId="17" xfId="0" applyFill="1" applyBorder="1"/>
    <xf numFmtId="43" fontId="8" fillId="0" borderId="1" xfId="1" applyNumberFormat="1" applyFont="1" applyFill="1" applyBorder="1"/>
    <xf numFmtId="165" fontId="8" fillId="0" borderId="1" xfId="1" applyNumberFormat="1" applyFont="1" applyFill="1" applyBorder="1"/>
    <xf numFmtId="164" fontId="8" fillId="0" borderId="1" xfId="1" applyNumberFormat="1" applyFont="1" applyFill="1" applyBorder="1"/>
    <xf numFmtId="164" fontId="8" fillId="0" borderId="22" xfId="1" applyNumberFormat="1" applyFont="1" applyFill="1" applyBorder="1"/>
    <xf numFmtId="0" fontId="2" fillId="13" borderId="34" xfId="0" applyFont="1" applyFill="1" applyBorder="1" applyAlignment="1">
      <alignment horizontal="center"/>
    </xf>
    <xf numFmtId="0" fontId="0" fillId="13" borderId="1" xfId="0" applyFont="1" applyFill="1" applyBorder="1" applyAlignment="1">
      <alignment horizontal="center"/>
    </xf>
    <xf numFmtId="164" fontId="0" fillId="13" borderId="1" xfId="1" applyNumberFormat="1" applyFont="1" applyFill="1" applyBorder="1"/>
    <xf numFmtId="43" fontId="2" fillId="13" borderId="1" xfId="1" applyNumberFormat="1" applyFont="1" applyFill="1" applyBorder="1"/>
    <xf numFmtId="166" fontId="2" fillId="13" borderId="1" xfId="1" applyNumberFormat="1" applyFont="1" applyFill="1" applyBorder="1"/>
    <xf numFmtId="39" fontId="2" fillId="13" borderId="1" xfId="1" applyNumberFormat="1" applyFont="1" applyFill="1" applyBorder="1"/>
    <xf numFmtId="43" fontId="2" fillId="13" borderId="22" xfId="1" applyNumberFormat="1" applyFont="1" applyFill="1" applyBorder="1"/>
    <xf numFmtId="164" fontId="0" fillId="13" borderId="17" xfId="1" applyNumberFormat="1" applyFont="1" applyFill="1" applyBorder="1"/>
    <xf numFmtId="43" fontId="0" fillId="13" borderId="1" xfId="1" applyNumberFormat="1" applyFont="1" applyFill="1" applyBorder="1"/>
    <xf numFmtId="43" fontId="7" fillId="13" borderId="17" xfId="1" applyNumberFormat="1" applyFont="1" applyFill="1" applyBorder="1"/>
    <xf numFmtId="43" fontId="7" fillId="13" borderId="1" xfId="1" applyNumberFormat="1" applyFont="1" applyFill="1" applyBorder="1"/>
    <xf numFmtId="164" fontId="7" fillId="13" borderId="17" xfId="1" applyNumberFormat="1" applyFont="1" applyFill="1" applyBorder="1"/>
    <xf numFmtId="43" fontId="8" fillId="13" borderId="1" xfId="1" applyNumberFormat="1" applyFont="1" applyFill="1" applyBorder="1"/>
    <xf numFmtId="165" fontId="8" fillId="13" borderId="1" xfId="1" applyNumberFormat="1" applyFont="1" applyFill="1" applyBorder="1"/>
    <xf numFmtId="165" fontId="8" fillId="13" borderId="22" xfId="1" applyNumberFormat="1" applyFont="1" applyFill="1" applyBorder="1"/>
    <xf numFmtId="0" fontId="7" fillId="13" borderId="17" xfId="0" applyFont="1" applyFill="1" applyBorder="1"/>
    <xf numFmtId="0" fontId="7" fillId="13" borderId="1" xfId="0" applyFont="1" applyFill="1" applyBorder="1"/>
    <xf numFmtId="0" fontId="8" fillId="13" borderId="1" xfId="0" applyFont="1" applyFill="1" applyBorder="1"/>
    <xf numFmtId="0" fontId="8" fillId="13" borderId="22" xfId="0" applyFont="1" applyFill="1" applyBorder="1"/>
    <xf numFmtId="0" fontId="2" fillId="17" borderId="34" xfId="0" applyFont="1" applyFill="1" applyBorder="1" applyAlignment="1">
      <alignment horizontal="center"/>
    </xf>
    <xf numFmtId="0" fontId="0" fillId="17" borderId="27" xfId="0" applyFont="1" applyFill="1" applyBorder="1" applyAlignment="1">
      <alignment horizontal="center"/>
    </xf>
    <xf numFmtId="0" fontId="0" fillId="17" borderId="1" xfId="0" applyFont="1" applyFill="1" applyBorder="1" applyAlignment="1">
      <alignment horizontal="center"/>
    </xf>
    <xf numFmtId="164" fontId="1" fillId="17" borderId="27" xfId="1" applyNumberFormat="1" applyFont="1" applyFill="1" applyBorder="1"/>
    <xf numFmtId="164" fontId="0" fillId="17" borderId="27" xfId="1" applyNumberFormat="1" applyFont="1" applyFill="1" applyBorder="1"/>
    <xf numFmtId="164" fontId="0" fillId="17" borderId="1" xfId="1" applyNumberFormat="1" applyFont="1" applyFill="1" applyBorder="1"/>
    <xf numFmtId="43" fontId="2" fillId="17" borderId="27" xfId="1" applyNumberFormat="1" applyFont="1" applyFill="1" applyBorder="1"/>
    <xf numFmtId="43" fontId="2" fillId="17" borderId="1" xfId="1" applyNumberFormat="1" applyFont="1" applyFill="1" applyBorder="1"/>
    <xf numFmtId="166" fontId="2" fillId="17" borderId="27" xfId="1" applyNumberFormat="1" applyFont="1" applyFill="1" applyBorder="1"/>
    <xf numFmtId="166" fontId="2" fillId="17" borderId="1" xfId="1" applyNumberFormat="1" applyFont="1" applyFill="1" applyBorder="1"/>
    <xf numFmtId="39" fontId="2" fillId="17" borderId="27" xfId="1" applyNumberFormat="1" applyFont="1" applyFill="1" applyBorder="1"/>
    <xf numFmtId="39" fontId="2" fillId="17" borderId="1" xfId="1" applyNumberFormat="1" applyFont="1" applyFill="1" applyBorder="1"/>
    <xf numFmtId="43" fontId="2" fillId="17" borderId="35" xfId="1" applyNumberFormat="1" applyFont="1" applyFill="1" applyBorder="1"/>
    <xf numFmtId="43" fontId="2" fillId="17" borderId="22" xfId="1" applyNumberFormat="1" applyFont="1" applyFill="1" applyBorder="1"/>
    <xf numFmtId="164" fontId="0" fillId="17" borderId="34" xfId="1" applyNumberFormat="1" applyFont="1" applyFill="1" applyBorder="1"/>
    <xf numFmtId="164" fontId="0" fillId="17" borderId="17" xfId="1" applyNumberFormat="1" applyFont="1" applyFill="1" applyBorder="1"/>
    <xf numFmtId="43" fontId="0" fillId="17" borderId="1" xfId="1" applyNumberFormat="1" applyFont="1" applyFill="1" applyBorder="1"/>
    <xf numFmtId="43" fontId="7" fillId="17" borderId="34" xfId="1" applyNumberFormat="1" applyFont="1" applyFill="1" applyBorder="1"/>
    <xf numFmtId="43" fontId="7" fillId="17" borderId="17" xfId="1" applyNumberFormat="1" applyFont="1" applyFill="1" applyBorder="1"/>
    <xf numFmtId="43" fontId="7" fillId="17" borderId="27" xfId="1" applyNumberFormat="1" applyFont="1" applyFill="1" applyBorder="1"/>
    <xf numFmtId="43" fontId="7" fillId="17" borderId="1" xfId="1" applyNumberFormat="1" applyFont="1" applyFill="1" applyBorder="1"/>
    <xf numFmtId="164" fontId="7" fillId="17" borderId="27" xfId="1" applyNumberFormat="1" applyFont="1" applyFill="1" applyBorder="1"/>
    <xf numFmtId="164" fontId="8" fillId="17" borderId="27" xfId="1" applyNumberFormat="1" applyFont="1" applyFill="1" applyBorder="1"/>
    <xf numFmtId="164" fontId="8" fillId="17" borderId="1" xfId="1" applyNumberFormat="1" applyFont="1" applyFill="1" applyBorder="1"/>
    <xf numFmtId="164" fontId="8" fillId="17" borderId="35" xfId="1" applyNumberFormat="1" applyFont="1" applyFill="1" applyBorder="1"/>
    <xf numFmtId="164" fontId="8" fillId="17" borderId="22" xfId="1" applyNumberFormat="1" applyFont="1" applyFill="1" applyBorder="1"/>
    <xf numFmtId="43" fontId="8" fillId="17" borderId="27" xfId="1" applyNumberFormat="1" applyFont="1" applyFill="1" applyBorder="1"/>
    <xf numFmtId="43" fontId="8" fillId="17" borderId="1" xfId="1" applyNumberFormat="1" applyFont="1" applyFill="1" applyBorder="1"/>
    <xf numFmtId="165" fontId="8" fillId="17" borderId="1" xfId="1" applyNumberFormat="1" applyFont="1" applyFill="1" applyBorder="1"/>
    <xf numFmtId="165" fontId="8" fillId="17" borderId="35" xfId="1" applyNumberFormat="1" applyFont="1" applyFill="1" applyBorder="1"/>
    <xf numFmtId="165" fontId="8" fillId="17" borderId="22" xfId="1" applyNumberFormat="1" applyFont="1" applyFill="1" applyBorder="1"/>
    <xf numFmtId="43" fontId="0" fillId="17" borderId="34" xfId="1" applyNumberFormat="1" applyFont="1" applyFill="1" applyBorder="1"/>
    <xf numFmtId="43" fontId="0" fillId="17" borderId="17" xfId="1" applyNumberFormat="1" applyFont="1" applyFill="1" applyBorder="1"/>
    <xf numFmtId="43" fontId="0" fillId="17" borderId="27" xfId="1" applyNumberFormat="1" applyFont="1" applyFill="1" applyBorder="1"/>
    <xf numFmtId="0" fontId="7" fillId="17" borderId="34" xfId="0" applyFont="1" applyFill="1" applyBorder="1"/>
    <xf numFmtId="0" fontId="7" fillId="17" borderId="17" xfId="0" applyFont="1" applyFill="1" applyBorder="1"/>
    <xf numFmtId="0" fontId="7" fillId="17" borderId="27" xfId="0" applyFont="1" applyFill="1" applyBorder="1"/>
    <xf numFmtId="0" fontId="7" fillId="17" borderId="1" xfId="0" applyFont="1" applyFill="1" applyBorder="1"/>
    <xf numFmtId="0" fontId="8" fillId="17" borderId="27" xfId="0" applyFont="1" applyFill="1" applyBorder="1"/>
    <xf numFmtId="0" fontId="8" fillId="17" borderId="1" xfId="0" applyFont="1" applyFill="1" applyBorder="1"/>
    <xf numFmtId="0" fontId="8" fillId="17" borderId="35" xfId="0" applyFont="1" applyFill="1" applyBorder="1"/>
    <xf numFmtId="0" fontId="8" fillId="17" borderId="22" xfId="0" applyFont="1" applyFill="1" applyBorder="1"/>
    <xf numFmtId="0" fontId="2" fillId="17" borderId="17" xfId="0" applyFont="1" applyFill="1" applyBorder="1" applyAlignment="1">
      <alignment horizontal="center"/>
    </xf>
    <xf numFmtId="0" fontId="2" fillId="17" borderId="18" xfId="0" applyFont="1" applyFill="1" applyBorder="1" applyAlignment="1">
      <alignment horizontal="center"/>
    </xf>
    <xf numFmtId="0" fontId="0" fillId="17" borderId="20" xfId="0" applyFont="1" applyFill="1" applyBorder="1" applyAlignment="1">
      <alignment horizontal="center"/>
    </xf>
    <xf numFmtId="164" fontId="0" fillId="17" borderId="20" xfId="1" applyNumberFormat="1" applyFont="1" applyFill="1" applyBorder="1"/>
    <xf numFmtId="43" fontId="2" fillId="17" borderId="20" xfId="1" applyNumberFormat="1" applyFont="1" applyFill="1" applyBorder="1"/>
    <xf numFmtId="166" fontId="2" fillId="17" borderId="20" xfId="1" applyNumberFormat="1" applyFont="1" applyFill="1" applyBorder="1"/>
    <xf numFmtId="43" fontId="2" fillId="17" borderId="23" xfId="1" applyNumberFormat="1" applyFont="1" applyFill="1" applyBorder="1"/>
    <xf numFmtId="164" fontId="0" fillId="17" borderId="18" xfId="1" applyNumberFormat="1" applyFont="1" applyFill="1" applyBorder="1"/>
    <xf numFmtId="43" fontId="0" fillId="17" borderId="20" xfId="1" applyNumberFormat="1" applyFont="1" applyFill="1" applyBorder="1"/>
    <xf numFmtId="43" fontId="7" fillId="17" borderId="20" xfId="1" applyNumberFormat="1" applyFont="1" applyFill="1" applyBorder="1"/>
    <xf numFmtId="164" fontId="7" fillId="17" borderId="20" xfId="1" applyNumberFormat="1" applyFont="1" applyFill="1" applyBorder="1"/>
    <xf numFmtId="164" fontId="8" fillId="17" borderId="20" xfId="1" applyNumberFormat="1" applyFont="1" applyFill="1" applyBorder="1"/>
    <xf numFmtId="164" fontId="8" fillId="17" borderId="23" xfId="1" applyNumberFormat="1" applyFont="1" applyFill="1" applyBorder="1"/>
    <xf numFmtId="0" fontId="7" fillId="17" borderId="18" xfId="0" applyFont="1" applyFill="1" applyBorder="1"/>
    <xf numFmtId="0" fontId="7" fillId="17" borderId="20" xfId="0" applyFont="1" applyFill="1" applyBorder="1"/>
    <xf numFmtId="0" fontId="8" fillId="17" borderId="20" xfId="0" applyFont="1" applyFill="1" applyBorder="1"/>
    <xf numFmtId="0" fontId="8" fillId="17" borderId="23" xfId="0" applyFont="1" applyFill="1" applyBorder="1"/>
    <xf numFmtId="43" fontId="8" fillId="17" borderId="20" xfId="1" applyNumberFormat="1" applyFont="1" applyFill="1" applyBorder="1"/>
    <xf numFmtId="165" fontId="8" fillId="17" borderId="23" xfId="1" applyNumberFormat="1" applyFont="1" applyFill="1" applyBorder="1"/>
    <xf numFmtId="43" fontId="0" fillId="17" borderId="18" xfId="1" applyNumberFormat="1" applyFont="1" applyFill="1" applyBorder="1"/>
    <xf numFmtId="0" fontId="2" fillId="13" borderId="17" xfId="0" applyFont="1" applyFill="1" applyBorder="1" applyAlignment="1">
      <alignment horizontal="center"/>
    </xf>
    <xf numFmtId="0" fontId="0" fillId="13" borderId="1" xfId="0" applyFill="1" applyBorder="1"/>
    <xf numFmtId="0" fontId="0" fillId="13" borderId="17" xfId="0" applyFill="1" applyBorder="1"/>
    <xf numFmtId="167" fontId="0" fillId="17" borderId="27" xfId="0" applyNumberFormat="1" applyFont="1" applyFill="1" applyBorder="1" applyAlignment="1">
      <alignment horizontal="center"/>
    </xf>
    <xf numFmtId="167" fontId="0" fillId="17" borderId="1" xfId="0" applyNumberFormat="1" applyFont="1" applyFill="1" applyBorder="1" applyAlignment="1">
      <alignment horizontal="center"/>
    </xf>
    <xf numFmtId="167" fontId="0" fillId="13" borderId="1" xfId="0" applyNumberFormat="1" applyFont="1" applyFill="1" applyBorder="1" applyAlignment="1">
      <alignment horizontal="center"/>
    </xf>
    <xf numFmtId="167" fontId="0" fillId="17" borderId="20" xfId="0" applyNumberFormat="1" applyFont="1" applyFill="1" applyBorder="1" applyAlignment="1">
      <alignment horizontal="center"/>
    </xf>
    <xf numFmtId="0" fontId="2" fillId="0" borderId="0" xfId="0" applyFont="1"/>
    <xf numFmtId="0" fontId="0" fillId="9" borderId="0" xfId="0" applyFont="1" applyFill="1"/>
    <xf numFmtId="0" fontId="0" fillId="2" borderId="0" xfId="0" applyFont="1" applyFill="1"/>
    <xf numFmtId="0" fontId="0" fillId="4" borderId="0" xfId="0" applyFont="1" applyFill="1"/>
    <xf numFmtId="0" fontId="0" fillId="16" borderId="0" xfId="0" applyFont="1" applyFill="1"/>
    <xf numFmtId="0" fontId="6" fillId="5" borderId="0" xfId="0" applyFont="1" applyFill="1"/>
    <xf numFmtId="0" fontId="6" fillId="6" borderId="0" xfId="0" applyFont="1" applyFill="1"/>
    <xf numFmtId="0" fontId="6" fillId="3" borderId="0" xfId="0" applyFont="1" applyFill="1"/>
    <xf numFmtId="0" fontId="6" fillId="15" borderId="0" xfId="0" applyFont="1" applyFill="1"/>
    <xf numFmtId="0" fontId="11" fillId="0" borderId="17" xfId="0" applyFont="1" applyFill="1" applyBorder="1" applyAlignment="1">
      <alignment horizontal="center"/>
    </xf>
    <xf numFmtId="0" fontId="11" fillId="0" borderId="1" xfId="0" applyFont="1" applyFill="1" applyBorder="1" applyAlignment="1">
      <alignment horizontal="center"/>
    </xf>
    <xf numFmtId="0" fontId="11" fillId="0" borderId="28" xfId="0" applyFont="1" applyFill="1" applyBorder="1" applyAlignment="1">
      <alignment horizontal="center"/>
    </xf>
    <xf numFmtId="0" fontId="11" fillId="0" borderId="0" xfId="0" applyFont="1" applyFill="1" applyAlignment="1">
      <alignment horizontal="center"/>
    </xf>
    <xf numFmtId="43" fontId="3" fillId="7" borderId="41" xfId="2" applyNumberFormat="1" applyBorder="1"/>
    <xf numFmtId="0" fontId="11" fillId="0" borderId="42" xfId="0" applyFont="1" applyFill="1" applyBorder="1" applyAlignment="1">
      <alignment horizontal="center"/>
    </xf>
    <xf numFmtId="0" fontId="11" fillId="0" borderId="43" xfId="0" applyFont="1" applyFill="1" applyBorder="1" applyAlignment="1">
      <alignment horizontal="center"/>
    </xf>
    <xf numFmtId="164" fontId="11" fillId="0" borderId="43" xfId="1" applyNumberFormat="1" applyFont="1" applyFill="1" applyBorder="1" applyAlignment="1">
      <alignment horizontal="center"/>
    </xf>
    <xf numFmtId="164" fontId="11" fillId="0" borderId="44" xfId="1" applyNumberFormat="1" applyFont="1" applyFill="1" applyBorder="1" applyAlignment="1">
      <alignment horizontal="center"/>
    </xf>
    <xf numFmtId="164" fontId="11" fillId="0" borderId="42" xfId="1" applyNumberFormat="1" applyFont="1" applyFill="1" applyBorder="1" applyAlignment="1">
      <alignment horizontal="center"/>
    </xf>
    <xf numFmtId="164" fontId="11" fillId="0" borderId="45" xfId="1" applyNumberFormat="1" applyFont="1" applyFill="1" applyBorder="1" applyAlignment="1">
      <alignment horizontal="center"/>
    </xf>
    <xf numFmtId="164" fontId="13" fillId="0" borderId="42" xfId="1" applyNumberFormat="1" applyFont="1" applyFill="1" applyBorder="1" applyAlignment="1">
      <alignment horizontal="center"/>
    </xf>
    <xf numFmtId="164" fontId="13" fillId="0" borderId="43" xfId="1" applyNumberFormat="1" applyFont="1" applyFill="1" applyBorder="1" applyAlignment="1">
      <alignment horizontal="center"/>
    </xf>
    <xf numFmtId="164" fontId="13" fillId="0" borderId="45" xfId="1" applyNumberFormat="1" applyFont="1" applyFill="1" applyBorder="1" applyAlignment="1">
      <alignment horizontal="center"/>
    </xf>
    <xf numFmtId="164" fontId="13" fillId="0" borderId="46" xfId="1" applyNumberFormat="1" applyFont="1" applyFill="1" applyBorder="1" applyAlignment="1">
      <alignment horizontal="center"/>
    </xf>
    <xf numFmtId="43" fontId="0" fillId="0" borderId="1" xfId="0" applyNumberFormat="1" applyBorder="1"/>
    <xf numFmtId="165" fontId="0" fillId="0" borderId="1" xfId="0" applyNumberFormat="1" applyBorder="1"/>
    <xf numFmtId="0" fontId="0" fillId="0" borderId="17" xfId="0" applyBorder="1"/>
    <xf numFmtId="0" fontId="0" fillId="0" borderId="18" xfId="0" applyBorder="1"/>
    <xf numFmtId="43" fontId="0" fillId="0" borderId="20" xfId="0" applyNumberFormat="1" applyBorder="1"/>
    <xf numFmtId="0" fontId="0" fillId="0" borderId="20" xfId="0" applyBorder="1"/>
    <xf numFmtId="165" fontId="0" fillId="0" borderId="20" xfId="0" applyNumberFormat="1" applyBorder="1"/>
    <xf numFmtId="0" fontId="11" fillId="0" borderId="22" xfId="0" applyFont="1" applyFill="1" applyBorder="1" applyAlignment="1">
      <alignment horizontal="center"/>
    </xf>
    <xf numFmtId="165" fontId="0" fillId="0" borderId="22" xfId="0" applyNumberFormat="1" applyBorder="1"/>
    <xf numFmtId="165" fontId="0" fillId="0" borderId="23" xfId="0" applyNumberFormat="1" applyBorder="1"/>
    <xf numFmtId="43" fontId="0" fillId="0" borderId="1" xfId="0" applyNumberFormat="1" applyFill="1" applyBorder="1"/>
    <xf numFmtId="0" fontId="2" fillId="0" borderId="25" xfId="0" applyFont="1" applyBorder="1"/>
    <xf numFmtId="43" fontId="0" fillId="0" borderId="29" xfId="0" applyNumberFormat="1" applyBorder="1"/>
    <xf numFmtId="0" fontId="12" fillId="0" borderId="0" xfId="0" applyFont="1"/>
    <xf numFmtId="43" fontId="0" fillId="0" borderId="0" xfId="0" applyNumberFormat="1" applyBorder="1"/>
    <xf numFmtId="43" fontId="0" fillId="0" borderId="32" xfId="0" applyNumberFormat="1" applyBorder="1"/>
    <xf numFmtId="43" fontId="0" fillId="0" borderId="22" xfId="0" applyNumberFormat="1" applyBorder="1"/>
    <xf numFmtId="0" fontId="2" fillId="0" borderId="8" xfId="0" applyFont="1" applyBorder="1"/>
    <xf numFmtId="0" fontId="0" fillId="0" borderId="9" xfId="0" applyFill="1" applyBorder="1"/>
    <xf numFmtId="0" fontId="11" fillId="0" borderId="9" xfId="0" applyFont="1" applyFill="1" applyBorder="1" applyAlignment="1">
      <alignment horizontal="center"/>
    </xf>
    <xf numFmtId="0" fontId="0" fillId="0" borderId="0" xfId="0" applyFill="1" applyBorder="1"/>
    <xf numFmtId="0" fontId="11" fillId="0" borderId="0" xfId="0" applyFont="1" applyFill="1" applyBorder="1" applyAlignment="1">
      <alignment horizontal="center"/>
    </xf>
    <xf numFmtId="0" fontId="3" fillId="7" borderId="3" xfId="2" applyBorder="1"/>
    <xf numFmtId="0" fontId="3" fillId="0" borderId="50" xfId="2" applyFill="1" applyBorder="1"/>
    <xf numFmtId="0" fontId="0" fillId="0" borderId="10" xfId="0" applyFill="1" applyBorder="1"/>
    <xf numFmtId="0" fontId="0" fillId="0" borderId="22" xfId="0" applyBorder="1"/>
    <xf numFmtId="0" fontId="2" fillId="0" borderId="19" xfId="0" applyFont="1" applyBorder="1"/>
    <xf numFmtId="0" fontId="3" fillId="7" borderId="1" xfId="2" applyBorder="1"/>
    <xf numFmtId="0" fontId="11" fillId="0" borderId="51" xfId="0" applyFont="1" applyFill="1" applyBorder="1" applyAlignment="1">
      <alignment horizontal="center"/>
    </xf>
    <xf numFmtId="164" fontId="2" fillId="0" borderId="17" xfId="1" applyNumberFormat="1" applyFont="1" applyFill="1" applyBorder="1"/>
    <xf numFmtId="43" fontId="0" fillId="0" borderId="17" xfId="0" applyNumberFormat="1" applyBorder="1"/>
    <xf numFmtId="43" fontId="0" fillId="0" borderId="18" xfId="0" applyNumberFormat="1" applyBorder="1"/>
    <xf numFmtId="0" fontId="2" fillId="0" borderId="31" xfId="0" applyFont="1" applyBorder="1"/>
    <xf numFmtId="0" fontId="2" fillId="0" borderId="0" xfId="0" applyFont="1" applyFill="1" applyBorder="1" applyAlignment="1">
      <alignment horizontal="center" vertical="center" wrapText="1"/>
    </xf>
    <xf numFmtId="164" fontId="8" fillId="0" borderId="0" xfId="1" applyNumberFormat="1" applyFont="1" applyFill="1" applyBorder="1"/>
    <xf numFmtId="164" fontId="13" fillId="0" borderId="0" xfId="1" applyNumberFormat="1" applyFont="1" applyFill="1" applyBorder="1" applyAlignment="1">
      <alignment horizontal="center"/>
    </xf>
    <xf numFmtId="165" fontId="8" fillId="0" borderId="0" xfId="1" applyNumberFormat="1" applyFont="1" applyFill="1" applyBorder="1"/>
    <xf numFmtId="0" fontId="8" fillId="0" borderId="0" xfId="0" applyFont="1" applyFill="1" applyBorder="1"/>
    <xf numFmtId="43" fontId="3" fillId="7" borderId="3" xfId="2" applyNumberFormat="1" applyBorder="1"/>
    <xf numFmtId="164" fontId="13" fillId="0" borderId="52" xfId="1" applyNumberFormat="1" applyFont="1" applyFill="1" applyBorder="1" applyAlignment="1">
      <alignment horizontal="center"/>
    </xf>
    <xf numFmtId="0" fontId="2" fillId="0" borderId="29" xfId="0" applyFont="1" applyBorder="1"/>
    <xf numFmtId="164" fontId="0" fillId="13" borderId="29" xfId="0" applyNumberFormat="1" applyFill="1" applyBorder="1"/>
    <xf numFmtId="164" fontId="0" fillId="13" borderId="1" xfId="0" applyNumberFormat="1" applyFill="1" applyBorder="1"/>
    <xf numFmtId="164" fontId="0" fillId="13" borderId="47" xfId="0" applyNumberFormat="1" applyFill="1" applyBorder="1"/>
    <xf numFmtId="164" fontId="2" fillId="13" borderId="29" xfId="0" applyNumberFormat="1" applyFont="1" applyFill="1" applyBorder="1"/>
    <xf numFmtId="164" fontId="0" fillId="17" borderId="29" xfId="0" applyNumberFormat="1" applyFill="1" applyBorder="1"/>
    <xf numFmtId="164" fontId="0" fillId="17" borderId="1" xfId="0" applyNumberFormat="1" applyFill="1" applyBorder="1"/>
    <xf numFmtId="164" fontId="0" fillId="17" borderId="47" xfId="0" applyNumberFormat="1" applyFill="1" applyBorder="1"/>
    <xf numFmtId="164" fontId="2" fillId="17" borderId="29" xfId="0" applyNumberFormat="1" applyFont="1" applyFill="1" applyBorder="1"/>
    <xf numFmtId="164" fontId="0" fillId="17" borderId="32" xfId="0" applyNumberFormat="1" applyFill="1" applyBorder="1"/>
    <xf numFmtId="164" fontId="0" fillId="17" borderId="20" xfId="0" applyNumberFormat="1" applyFill="1" applyBorder="1"/>
    <xf numFmtId="164" fontId="0" fillId="17" borderId="48" xfId="0" applyNumberFormat="1" applyFill="1" applyBorder="1"/>
    <xf numFmtId="164" fontId="2" fillId="17" borderId="32" xfId="0" applyNumberFormat="1" applyFont="1" applyFill="1" applyBorder="1"/>
    <xf numFmtId="164" fontId="0" fillId="17" borderId="53" xfId="0" applyNumberFormat="1" applyFill="1" applyBorder="1"/>
    <xf numFmtId="164" fontId="0" fillId="17" borderId="27" xfId="0" applyNumberFormat="1" applyFill="1" applyBorder="1"/>
    <xf numFmtId="164" fontId="2" fillId="17" borderId="53" xfId="0" applyNumberFormat="1" applyFont="1" applyFill="1" applyBorder="1"/>
    <xf numFmtId="0" fontId="11" fillId="0" borderId="54" xfId="0" applyFont="1" applyBorder="1"/>
    <xf numFmtId="0" fontId="11" fillId="0" borderId="55" xfId="0" applyFont="1" applyBorder="1"/>
    <xf numFmtId="0" fontId="14" fillId="0" borderId="54" xfId="0" applyFont="1" applyBorder="1"/>
    <xf numFmtId="0" fontId="2" fillId="0" borderId="49" xfId="0" applyFont="1" applyFill="1" applyBorder="1" applyAlignment="1"/>
    <xf numFmtId="0" fontId="11" fillId="0" borderId="56" xfId="0" applyFont="1" applyFill="1" applyBorder="1" applyAlignment="1">
      <alignment horizontal="center"/>
    </xf>
    <xf numFmtId="43" fontId="0" fillId="0" borderId="0" xfId="0" applyNumberFormat="1"/>
    <xf numFmtId="0" fontId="3" fillId="0" borderId="57" xfId="2" applyFill="1" applyBorder="1"/>
    <xf numFmtId="10" fontId="0" fillId="0" borderId="22" xfId="5" applyNumberFormat="1" applyFont="1" applyBorder="1"/>
    <xf numFmtId="10" fontId="0" fillId="0" borderId="23" xfId="5" applyNumberFormat="1" applyFont="1" applyBorder="1"/>
    <xf numFmtId="164" fontId="8" fillId="0" borderId="7" xfId="1" applyNumberFormat="1" applyFont="1" applyFill="1" applyBorder="1"/>
    <xf numFmtId="0" fontId="11" fillId="0" borderId="7" xfId="0" applyFont="1" applyFill="1" applyBorder="1" applyAlignment="1">
      <alignment horizontal="center"/>
    </xf>
    <xf numFmtId="43" fontId="0" fillId="0" borderId="7" xfId="0" applyNumberFormat="1" applyBorder="1"/>
    <xf numFmtId="0" fontId="2" fillId="17" borderId="0" xfId="0" applyFont="1" applyFill="1" applyBorder="1" applyAlignment="1">
      <alignment horizontal="center"/>
    </xf>
    <xf numFmtId="0" fontId="2" fillId="13" borderId="0" xfId="0" applyFont="1" applyFill="1" applyBorder="1" applyAlignment="1">
      <alignment horizontal="center"/>
    </xf>
    <xf numFmtId="0" fontId="2" fillId="0" borderId="19" xfId="0" applyFont="1" applyFill="1" applyBorder="1"/>
    <xf numFmtId="164" fontId="3" fillId="7" borderId="3" xfId="2" applyNumberFormat="1"/>
    <xf numFmtId="43" fontId="0" fillId="0" borderId="17" xfId="0" applyNumberFormat="1" applyFill="1" applyBorder="1"/>
    <xf numFmtId="43" fontId="0" fillId="0" borderId="18" xfId="0" applyNumberFormat="1" applyFill="1" applyBorder="1"/>
    <xf numFmtId="43" fontId="0" fillId="0" borderId="20" xfId="0" applyNumberFormat="1" applyFill="1" applyBorder="1"/>
    <xf numFmtId="43" fontId="0" fillId="0" borderId="22" xfId="0" applyNumberFormat="1" applyFill="1" applyBorder="1"/>
    <xf numFmtId="168" fontId="0" fillId="0" borderId="22" xfId="5" applyNumberFormat="1" applyFont="1" applyFill="1" applyBorder="1"/>
    <xf numFmtId="43" fontId="0" fillId="0" borderId="23" xfId="0" applyNumberFormat="1" applyFill="1" applyBorder="1"/>
    <xf numFmtId="43" fontId="0" fillId="17" borderId="2" xfId="1" applyNumberFormat="1" applyFont="1" applyFill="1" applyBorder="1"/>
    <xf numFmtId="43" fontId="2" fillId="17" borderId="60" xfId="1" applyNumberFormat="1" applyFont="1" applyFill="1" applyBorder="1"/>
    <xf numFmtId="43" fontId="7" fillId="17" borderId="61" xfId="1" applyNumberFormat="1" applyFont="1" applyFill="1" applyBorder="1"/>
    <xf numFmtId="43" fontId="7" fillId="17" borderId="2" xfId="1" applyNumberFormat="1" applyFont="1" applyFill="1" applyBorder="1"/>
    <xf numFmtId="164" fontId="7" fillId="17" borderId="2" xfId="1" applyNumberFormat="1" applyFont="1" applyFill="1" applyBorder="1"/>
    <xf numFmtId="164" fontId="8" fillId="17" borderId="2" xfId="1" applyNumberFormat="1" applyFont="1" applyFill="1" applyBorder="1"/>
    <xf numFmtId="43" fontId="0" fillId="0" borderId="62" xfId="1" applyNumberFormat="1" applyFont="1" applyFill="1" applyBorder="1"/>
    <xf numFmtId="0" fontId="0" fillId="0" borderId="28" xfId="0" applyBorder="1"/>
    <xf numFmtId="0" fontId="0" fillId="0" borderId="63" xfId="0" applyBorder="1"/>
    <xf numFmtId="43" fontId="2" fillId="0" borderId="64" xfId="1" applyNumberFormat="1" applyFont="1" applyFill="1" applyBorder="1"/>
    <xf numFmtId="0" fontId="0" fillId="0" borderId="59" xfId="0" applyBorder="1"/>
    <xf numFmtId="43" fontId="7" fillId="0" borderId="64" xfId="1" applyNumberFormat="1" applyFont="1" applyFill="1" applyBorder="1"/>
    <xf numFmtId="167" fontId="0" fillId="0" borderId="0" xfId="0" applyNumberFormat="1" applyBorder="1"/>
    <xf numFmtId="164" fontId="7" fillId="0" borderId="64" xfId="1" applyNumberFormat="1" applyFont="1" applyFill="1" applyBorder="1"/>
    <xf numFmtId="164" fontId="8" fillId="0" borderId="64" xfId="1" applyNumberFormat="1" applyFont="1" applyFill="1" applyBorder="1"/>
    <xf numFmtId="0" fontId="0" fillId="0" borderId="65" xfId="0" applyFill="1" applyBorder="1"/>
    <xf numFmtId="0" fontId="0" fillId="0" borderId="53" xfId="0" applyBorder="1"/>
    <xf numFmtId="43" fontId="3" fillId="7" borderId="3" xfId="2" applyNumberFormat="1"/>
    <xf numFmtId="164" fontId="0" fillId="0" borderId="1" xfId="0" applyNumberFormat="1" applyBorder="1"/>
    <xf numFmtId="0" fontId="2" fillId="0" borderId="1" xfId="0" applyFont="1" applyBorder="1"/>
    <xf numFmtId="9" fontId="0" fillId="0" borderId="1" xfId="5" applyFont="1" applyBorder="1"/>
    <xf numFmtId="2" fontId="0" fillId="0" borderId="1" xfId="0" applyNumberFormat="1" applyBorder="1"/>
    <xf numFmtId="43" fontId="0" fillId="0" borderId="1" xfId="1" applyFont="1" applyBorder="1"/>
    <xf numFmtId="43" fontId="3" fillId="7" borderId="1" xfId="2" applyNumberFormat="1" applyBorder="1"/>
    <xf numFmtId="0" fontId="15" fillId="0" borderId="58" xfId="6" applyFill="1"/>
    <xf numFmtId="0" fontId="15" fillId="0" borderId="58" xfId="6"/>
    <xf numFmtId="0" fontId="11" fillId="0" borderId="0" xfId="0" applyFont="1" applyFill="1" applyBorder="1" applyAlignment="1"/>
    <xf numFmtId="0" fontId="12" fillId="0" borderId="8" xfId="0" applyFont="1" applyBorder="1"/>
    <xf numFmtId="0" fontId="16" fillId="0" borderId="0" xfId="0" applyFont="1" applyFill="1" applyBorder="1" applyAlignment="1">
      <alignment horizontal="center"/>
    </xf>
    <xf numFmtId="43" fontId="0" fillId="0" borderId="0" xfId="1" applyFont="1"/>
    <xf numFmtId="164" fontId="0" fillId="0" borderId="0" xfId="0" applyNumberFormat="1"/>
    <xf numFmtId="0" fontId="0" fillId="0" borderId="19" xfId="0" applyFill="1" applyBorder="1" applyAlignment="1">
      <alignment horizontal="left"/>
    </xf>
    <xf numFmtId="0" fontId="0" fillId="0" borderId="67" xfId="0" applyBorder="1"/>
    <xf numFmtId="0" fontId="0" fillId="0" borderId="68" xfId="0" applyBorder="1"/>
    <xf numFmtId="0" fontId="0" fillId="0" borderId="9" xfId="0" applyFill="1" applyBorder="1" applyAlignment="1"/>
    <xf numFmtId="164" fontId="8" fillId="0" borderId="47" xfId="1" applyNumberFormat="1" applyFont="1" applyFill="1" applyBorder="1"/>
    <xf numFmtId="0" fontId="0" fillId="0" borderId="47" xfId="0" applyBorder="1"/>
    <xf numFmtId="0" fontId="3" fillId="7" borderId="47" xfId="2" applyBorder="1"/>
    <xf numFmtId="0" fontId="0" fillId="0" borderId="48" xfId="0" applyBorder="1"/>
    <xf numFmtId="0" fontId="15" fillId="0" borderId="69" xfId="6" applyBorder="1"/>
    <xf numFmtId="0" fontId="2" fillId="0" borderId="9" xfId="0" applyFont="1" applyFill="1" applyBorder="1" applyAlignment="1"/>
    <xf numFmtId="0" fontId="11" fillId="0" borderId="70" xfId="0" applyFont="1" applyFill="1" applyBorder="1" applyAlignment="1">
      <alignment horizontal="center"/>
    </xf>
    <xf numFmtId="0" fontId="2" fillId="17" borderId="9" xfId="0" applyFont="1" applyFill="1" applyBorder="1" applyAlignment="1">
      <alignment horizontal="center"/>
    </xf>
    <xf numFmtId="0" fontId="2" fillId="13" borderId="9" xfId="0" applyFont="1" applyFill="1" applyBorder="1" applyAlignment="1">
      <alignment horizontal="center"/>
    </xf>
    <xf numFmtId="0" fontId="2" fillId="17" borderId="10" xfId="0" applyFont="1" applyFill="1" applyBorder="1" applyAlignment="1">
      <alignment horizontal="center"/>
    </xf>
    <xf numFmtId="0" fontId="2" fillId="0" borderId="30" xfId="0" applyFont="1" applyBorder="1"/>
    <xf numFmtId="0" fontId="2" fillId="0" borderId="71" xfId="0" applyFont="1" applyBorder="1"/>
    <xf numFmtId="0" fontId="14" fillId="0" borderId="72" xfId="0" applyFont="1" applyBorder="1"/>
    <xf numFmtId="164" fontId="2" fillId="17" borderId="51" xfId="0" applyNumberFormat="1" applyFont="1" applyFill="1" applyBorder="1"/>
    <xf numFmtId="164" fontId="2" fillId="13" borderId="51" xfId="0" applyNumberFormat="1" applyFont="1" applyFill="1" applyBorder="1"/>
    <xf numFmtId="164" fontId="2" fillId="17" borderId="66" xfId="0" applyNumberFormat="1" applyFont="1" applyFill="1" applyBorder="1"/>
    <xf numFmtId="164" fontId="0" fillId="0" borderId="1" xfId="1" applyNumberFormat="1" applyFont="1" applyBorder="1"/>
    <xf numFmtId="0" fontId="2" fillId="0" borderId="0" xfId="0" applyFont="1" applyFill="1" applyBorder="1"/>
    <xf numFmtId="164" fontId="2" fillId="0" borderId="0" xfId="1" applyNumberFormat="1" applyFont="1" applyFill="1" applyBorder="1"/>
    <xf numFmtId="0" fontId="11" fillId="0" borderId="0" xfId="0" applyFont="1" applyFill="1" applyBorder="1"/>
    <xf numFmtId="164" fontId="0" fillId="0" borderId="0" xfId="1" applyNumberFormat="1" applyFont="1" applyFill="1"/>
    <xf numFmtId="164" fontId="1" fillId="13" borderId="1" xfId="1" applyNumberFormat="1" applyFont="1" applyFill="1" applyBorder="1"/>
    <xf numFmtId="0" fontId="11" fillId="0" borderId="1" xfId="0" applyFont="1" applyFill="1" applyBorder="1"/>
    <xf numFmtId="0" fontId="11" fillId="0" borderId="1" xfId="0" applyFont="1" applyBorder="1"/>
    <xf numFmtId="0" fontId="2" fillId="0" borderId="16" xfId="0" applyFont="1" applyBorder="1"/>
    <xf numFmtId="0" fontId="11" fillId="0" borderId="17" xfId="0" applyFont="1" applyBorder="1"/>
    <xf numFmtId="164" fontId="0" fillId="0" borderId="18" xfId="1" applyNumberFormat="1" applyFont="1" applyFill="1" applyBorder="1"/>
    <xf numFmtId="164" fontId="1" fillId="0" borderId="20" xfId="1" applyNumberFormat="1" applyFont="1" applyFill="1" applyBorder="1"/>
    <xf numFmtId="0" fontId="2" fillId="0" borderId="21" xfId="0" applyFont="1" applyFill="1" applyBorder="1"/>
    <xf numFmtId="0" fontId="11" fillId="0" borderId="22" xfId="0" applyFont="1" applyFill="1" applyBorder="1"/>
    <xf numFmtId="164" fontId="2" fillId="0" borderId="23" xfId="0" applyNumberFormat="1" applyFont="1" applyBorder="1"/>
    <xf numFmtId="43" fontId="2" fillId="0" borderId="1" xfId="0" applyNumberFormat="1" applyFont="1" applyBorder="1"/>
    <xf numFmtId="0" fontId="2" fillId="0" borderId="37" xfId="0" applyFont="1" applyFill="1" applyBorder="1"/>
    <xf numFmtId="0" fontId="14" fillId="0" borderId="74" xfId="0" applyFont="1" applyFill="1" applyBorder="1"/>
    <xf numFmtId="164" fontId="2" fillId="0" borderId="59" xfId="0" applyNumberFormat="1" applyFont="1" applyFill="1" applyBorder="1"/>
    <xf numFmtId="0" fontId="2" fillId="0" borderId="0" xfId="0" applyFont="1" applyFill="1"/>
    <xf numFmtId="0" fontId="2" fillId="0" borderId="16" xfId="0" applyFont="1" applyFill="1" applyBorder="1"/>
    <xf numFmtId="0" fontId="11" fillId="0" borderId="75" xfId="0" applyFont="1" applyFill="1" applyBorder="1"/>
    <xf numFmtId="169" fontId="0" fillId="17" borderId="34" xfId="1" applyNumberFormat="1" applyFont="1" applyFill="1" applyBorder="1"/>
    <xf numFmtId="169" fontId="0" fillId="13" borderId="34" xfId="1" applyNumberFormat="1" applyFont="1" applyFill="1" applyBorder="1"/>
    <xf numFmtId="169" fontId="0" fillId="17" borderId="76" xfId="1" applyNumberFormat="1" applyFont="1" applyFill="1" applyBorder="1"/>
    <xf numFmtId="43" fontId="0" fillId="0" borderId="1" xfId="0" applyNumberFormat="1" applyFont="1" applyBorder="1"/>
    <xf numFmtId="43" fontId="0" fillId="0" borderId="2" xfId="0" applyNumberFormat="1" applyFont="1" applyBorder="1"/>
    <xf numFmtId="0" fontId="0" fillId="0" borderId="1" xfId="0" applyFont="1" applyBorder="1"/>
    <xf numFmtId="0" fontId="0" fillId="0" borderId="2" xfId="0" applyFont="1" applyBorder="1"/>
    <xf numFmtId="169" fontId="0" fillId="0" borderId="1" xfId="1" applyNumberFormat="1" applyFont="1" applyFill="1" applyBorder="1"/>
    <xf numFmtId="169" fontId="0" fillId="0" borderId="20" xfId="1" applyNumberFormat="1" applyFont="1" applyFill="1" applyBorder="1"/>
    <xf numFmtId="164" fontId="2" fillId="0" borderId="20" xfId="1" applyNumberFormat="1" applyFont="1" applyFill="1" applyBorder="1"/>
    <xf numFmtId="0" fontId="18" fillId="17" borderId="0" xfId="0" applyFont="1" applyFill="1" applyBorder="1" applyAlignment="1">
      <alignment horizontal="left"/>
    </xf>
    <xf numFmtId="0" fontId="18" fillId="0" borderId="0" xfId="0" applyFont="1"/>
    <xf numFmtId="0" fontId="3" fillId="7" borderId="3" xfId="2" applyAlignment="1">
      <alignment horizontal="center"/>
    </xf>
    <xf numFmtId="16" fontId="0" fillId="0" borderId="0" xfId="0" applyNumberFormat="1"/>
    <xf numFmtId="16" fontId="0" fillId="0" borderId="6" xfId="0" applyNumberFormat="1" applyBorder="1"/>
    <xf numFmtId="0" fontId="15" fillId="0" borderId="1" xfId="6" applyBorder="1"/>
    <xf numFmtId="16" fontId="0" fillId="0" borderId="1" xfId="0" applyNumberFormat="1" applyBorder="1"/>
    <xf numFmtId="170" fontId="0" fillId="0" borderId="1" xfId="0" applyNumberFormat="1" applyBorder="1" applyAlignment="1">
      <alignment vertical="center"/>
    </xf>
    <xf numFmtId="0" fontId="0" fillId="0" borderId="1" xfId="0" applyBorder="1" applyAlignment="1">
      <alignment wrapText="1"/>
    </xf>
    <xf numFmtId="164" fontId="2" fillId="0" borderId="29" xfId="1" applyNumberFormat="1" applyFont="1" applyFill="1" applyBorder="1"/>
    <xf numFmtId="14" fontId="0" fillId="0" borderId="1" xfId="0" applyNumberFormat="1" applyBorder="1"/>
    <xf numFmtId="0" fontId="0" fillId="0" borderId="29" xfId="0" applyBorder="1"/>
    <xf numFmtId="16" fontId="0" fillId="0" borderId="1" xfId="0" applyNumberFormat="1" applyBorder="1" applyAlignment="1">
      <alignment vertical="center"/>
    </xf>
    <xf numFmtId="43" fontId="0" fillId="13" borderId="0" xfId="0" applyNumberFormat="1" applyFill="1"/>
    <xf numFmtId="164" fontId="7" fillId="18" borderId="17" xfId="1" applyNumberFormat="1" applyFont="1" applyFill="1" applyBorder="1"/>
    <xf numFmtId="43" fontId="7" fillId="18" borderId="1" xfId="1" applyNumberFormat="1" applyFont="1" applyFill="1" applyBorder="1"/>
    <xf numFmtId="0" fontId="7" fillId="18" borderId="1" xfId="0" applyFont="1" applyFill="1" applyBorder="1"/>
    <xf numFmtId="43" fontId="8" fillId="18" borderId="1" xfId="1" applyNumberFormat="1" applyFont="1" applyFill="1" applyBorder="1"/>
    <xf numFmtId="165" fontId="8" fillId="18" borderId="1" xfId="1" applyNumberFormat="1" applyFont="1" applyFill="1" applyBorder="1"/>
    <xf numFmtId="164" fontId="7" fillId="18" borderId="1" xfId="1" applyNumberFormat="1" applyFont="1" applyFill="1" applyBorder="1"/>
    <xf numFmtId="165" fontId="8" fillId="18" borderId="22" xfId="1" applyNumberFormat="1" applyFont="1" applyFill="1" applyBorder="1"/>
    <xf numFmtId="164" fontId="0" fillId="0" borderId="20" xfId="0" applyNumberFormat="1" applyBorder="1"/>
    <xf numFmtId="164" fontId="0" fillId="0" borderId="7" xfId="0" applyNumberFormat="1" applyBorder="1"/>
    <xf numFmtId="0" fontId="2" fillId="0" borderId="31" xfId="0" applyFont="1" applyFill="1" applyBorder="1" applyAlignment="1">
      <alignment horizontal="left"/>
    </xf>
    <xf numFmtId="164" fontId="8" fillId="0" borderId="29" xfId="1" applyNumberFormat="1" applyFont="1" applyFill="1" applyBorder="1"/>
    <xf numFmtId="0" fontId="0" fillId="0" borderId="73" xfId="0" applyFill="1" applyBorder="1"/>
    <xf numFmtId="0" fontId="0" fillId="0" borderId="7" xfId="0" applyBorder="1"/>
    <xf numFmtId="0" fontId="0" fillId="0" borderId="0" xfId="0"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29" xfId="0" applyFill="1" applyBorder="1"/>
    <xf numFmtId="0" fontId="0" fillId="0" borderId="0" xfId="0" applyAlignment="1">
      <alignment horizontal="center"/>
    </xf>
    <xf numFmtId="0" fontId="3" fillId="19" borderId="3" xfId="2" applyFill="1"/>
    <xf numFmtId="0" fontId="0" fillId="19" borderId="1" xfId="0" applyFill="1" applyBorder="1"/>
    <xf numFmtId="16" fontId="0" fillId="3" borderId="1" xfId="0" applyNumberFormat="1" applyFill="1" applyBorder="1"/>
    <xf numFmtId="0" fontId="2" fillId="0" borderId="1" xfId="0" applyFont="1" applyBorder="1" applyAlignment="1">
      <alignment horizontal="center"/>
    </xf>
    <xf numFmtId="0" fontId="0" fillId="0" borderId="19" xfId="0" applyFill="1" applyBorder="1" applyAlignment="1">
      <alignment horizontal="left" vertical="center"/>
    </xf>
    <xf numFmtId="0" fontId="0" fillId="19" borderId="22" xfId="0" applyFill="1" applyBorder="1"/>
    <xf numFmtId="164" fontId="0" fillId="20" borderId="17" xfId="1" applyNumberFormat="1" applyFont="1" applyFill="1" applyBorder="1"/>
    <xf numFmtId="164" fontId="0" fillId="20" borderId="18" xfId="1" applyNumberFormat="1" applyFont="1" applyFill="1" applyBorder="1"/>
    <xf numFmtId="43" fontId="0" fillId="20" borderId="1" xfId="1" applyNumberFormat="1" applyFont="1" applyFill="1" applyBorder="1"/>
    <xf numFmtId="164" fontId="0" fillId="20" borderId="20" xfId="1" applyNumberFormat="1" applyFont="1" applyFill="1" applyBorder="1"/>
    <xf numFmtId="43" fontId="0" fillId="20" borderId="1" xfId="0" applyNumberFormat="1" applyFill="1" applyBorder="1"/>
    <xf numFmtId="0" fontId="0" fillId="20" borderId="1" xfId="0" applyFill="1" applyBorder="1"/>
    <xf numFmtId="43" fontId="3" fillId="20" borderId="3" xfId="2" applyNumberFormat="1" applyFill="1"/>
    <xf numFmtId="43" fontId="0" fillId="20" borderId="20" xfId="1" applyNumberFormat="1" applyFont="1" applyFill="1" applyBorder="1"/>
    <xf numFmtId="43" fontId="7" fillId="20" borderId="1" xfId="1" applyNumberFormat="1" applyFont="1" applyFill="1" applyBorder="1"/>
    <xf numFmtId="43" fontId="7" fillId="20" borderId="20" xfId="1" applyNumberFormat="1" applyFont="1" applyFill="1" applyBorder="1"/>
    <xf numFmtId="43" fontId="8" fillId="20" borderId="1" xfId="1" applyNumberFormat="1" applyFont="1" applyFill="1" applyBorder="1"/>
    <xf numFmtId="43" fontId="8" fillId="20" borderId="20" xfId="1" applyNumberFormat="1" applyFont="1" applyFill="1" applyBorder="1"/>
    <xf numFmtId="165" fontId="8" fillId="20" borderId="1" xfId="1" applyNumberFormat="1" applyFont="1" applyFill="1" applyBorder="1"/>
    <xf numFmtId="165" fontId="8" fillId="20" borderId="20" xfId="1" applyNumberFormat="1" applyFont="1" applyFill="1" applyBorder="1"/>
    <xf numFmtId="164" fontId="0" fillId="20" borderId="1" xfId="1" applyNumberFormat="1" applyFont="1" applyFill="1" applyBorder="1"/>
    <xf numFmtId="165" fontId="8" fillId="20" borderId="22" xfId="1" applyNumberFormat="1" applyFont="1" applyFill="1" applyBorder="1"/>
    <xf numFmtId="165" fontId="8" fillId="20" borderId="23" xfId="1" applyNumberFormat="1" applyFont="1" applyFill="1" applyBorder="1"/>
    <xf numFmtId="43" fontId="7" fillId="20" borderId="34" xfId="1" applyNumberFormat="1" applyFont="1" applyFill="1" applyBorder="1"/>
    <xf numFmtId="164" fontId="7" fillId="20" borderId="17" xfId="1" applyNumberFormat="1" applyFont="1" applyFill="1" applyBorder="1"/>
    <xf numFmtId="43" fontId="7" fillId="20" borderId="27" xfId="1" applyNumberFormat="1" applyFont="1" applyFill="1" applyBorder="1"/>
    <xf numFmtId="43" fontId="3" fillId="20" borderId="41" xfId="2" applyNumberFormat="1" applyFill="1" applyBorder="1"/>
    <xf numFmtId="0" fontId="3" fillId="20" borderId="3" xfId="2" applyFill="1" applyBorder="1"/>
    <xf numFmtId="0" fontId="7" fillId="20" borderId="1" xfId="0" applyFont="1" applyFill="1" applyBorder="1"/>
    <xf numFmtId="43" fontId="8" fillId="20" borderId="27" xfId="1" applyNumberFormat="1" applyFont="1" applyFill="1" applyBorder="1"/>
    <xf numFmtId="165" fontId="8" fillId="20" borderId="27" xfId="1" applyNumberFormat="1" applyFont="1" applyFill="1" applyBorder="1"/>
    <xf numFmtId="164" fontId="7" fillId="20" borderId="1" xfId="1" applyNumberFormat="1" applyFont="1" applyFill="1" applyBorder="1"/>
    <xf numFmtId="165" fontId="8" fillId="20" borderId="35" xfId="1" applyNumberFormat="1" applyFont="1" applyFill="1" applyBorder="1"/>
    <xf numFmtId="2" fontId="3" fillId="21" borderId="1" xfId="2" applyNumberFormat="1" applyFill="1" applyBorder="1"/>
    <xf numFmtId="2" fontId="3" fillId="21" borderId="22" xfId="2" applyNumberFormat="1" applyFill="1" applyBorder="1"/>
    <xf numFmtId="43" fontId="0" fillId="21" borderId="17" xfId="0" applyNumberFormat="1" applyFill="1" applyBorder="1"/>
    <xf numFmtId="43" fontId="0" fillId="21" borderId="18" xfId="0" applyNumberFormat="1" applyFill="1" applyBorder="1"/>
    <xf numFmtId="43" fontId="0" fillId="21" borderId="1" xfId="0" applyNumberFormat="1" applyFill="1" applyBorder="1"/>
    <xf numFmtId="43" fontId="0" fillId="21" borderId="20" xfId="0" applyNumberFormat="1" applyFill="1" applyBorder="1"/>
    <xf numFmtId="10" fontId="0" fillId="21" borderId="22" xfId="5" applyNumberFormat="1" applyFont="1" applyFill="1" applyBorder="1"/>
    <xf numFmtId="10" fontId="0" fillId="21" borderId="7" xfId="5" applyNumberFormat="1" applyFont="1" applyFill="1" applyBorder="1"/>
    <xf numFmtId="2" fontId="0" fillId="6" borderId="20" xfId="0" applyNumberFormat="1" applyFill="1" applyBorder="1"/>
    <xf numFmtId="2" fontId="0" fillId="6" borderId="23" xfId="0" applyNumberFormat="1" applyFill="1" applyBorder="1"/>
    <xf numFmtId="43" fontId="0" fillId="6" borderId="17" xfId="0" applyNumberFormat="1" applyFill="1" applyBorder="1"/>
    <xf numFmtId="43" fontId="0" fillId="6" borderId="1" xfId="0" applyNumberFormat="1" applyFill="1" applyBorder="1"/>
    <xf numFmtId="10" fontId="0" fillId="6" borderId="22" xfId="5" applyNumberFormat="1" applyFont="1" applyFill="1" applyBorder="1"/>
    <xf numFmtId="0" fontId="0" fillId="0" borderId="82" xfId="0" applyFill="1" applyBorder="1"/>
    <xf numFmtId="0" fontId="0" fillId="0" borderId="31" xfId="0" applyFill="1" applyBorder="1" applyAlignment="1">
      <alignment horizontal="left" vertical="center"/>
    </xf>
    <xf numFmtId="0" fontId="11" fillId="0" borderId="29" xfId="0" applyFont="1" applyFill="1" applyBorder="1" applyAlignment="1">
      <alignment horizontal="center"/>
    </xf>
    <xf numFmtId="0" fontId="0" fillId="0" borderId="16" xfId="0" applyFill="1" applyBorder="1"/>
    <xf numFmtId="2" fontId="3" fillId="21" borderId="29" xfId="2" applyNumberFormat="1" applyFill="1" applyBorder="1"/>
    <xf numFmtId="2" fontId="0" fillId="6" borderId="32" xfId="0" applyNumberFormat="1" applyFill="1" applyBorder="1"/>
    <xf numFmtId="2" fontId="3" fillId="13" borderId="1" xfId="2" applyNumberFormat="1" applyFill="1" applyBorder="1"/>
    <xf numFmtId="0" fontId="0" fillId="13" borderId="22" xfId="0" applyFill="1" applyBorder="1"/>
    <xf numFmtId="2" fontId="3" fillId="14" borderId="1" xfId="2" applyNumberFormat="1" applyFill="1" applyBorder="1"/>
    <xf numFmtId="2" fontId="0" fillId="14" borderId="1" xfId="0" applyNumberFormat="1" applyFill="1" applyBorder="1"/>
    <xf numFmtId="2" fontId="0" fillId="14" borderId="22" xfId="0" applyNumberFormat="1" applyFill="1" applyBorder="1"/>
    <xf numFmtId="9" fontId="3" fillId="14" borderId="17" xfId="2" applyNumberFormat="1" applyFill="1" applyBorder="1"/>
    <xf numFmtId="0" fontId="0" fillId="14" borderId="17" xfId="0" applyFill="1" applyBorder="1"/>
    <xf numFmtId="9" fontId="3" fillId="14" borderId="1" xfId="2" applyNumberFormat="1" applyFill="1" applyBorder="1"/>
    <xf numFmtId="0" fontId="0" fillId="14" borderId="1" xfId="0" applyFill="1" applyBorder="1"/>
    <xf numFmtId="168" fontId="3" fillId="14" borderId="1" xfId="2" applyNumberFormat="1" applyFill="1" applyBorder="1"/>
    <xf numFmtId="2" fontId="3" fillId="14" borderId="22" xfId="2" applyNumberFormat="1" applyFill="1" applyBorder="1"/>
    <xf numFmtId="9" fontId="3" fillId="13" borderId="17" xfId="2" applyNumberFormat="1" applyFill="1" applyBorder="1"/>
    <xf numFmtId="9" fontId="3" fillId="13" borderId="1" xfId="2" applyNumberFormat="1" applyFill="1" applyBorder="1"/>
    <xf numFmtId="168" fontId="3" fillId="13" borderId="1" xfId="2" applyNumberFormat="1" applyFill="1" applyBorder="1"/>
    <xf numFmtId="2" fontId="3" fillId="13" borderId="22" xfId="2" applyNumberFormat="1" applyFill="1" applyBorder="1"/>
    <xf numFmtId="0" fontId="0" fillId="14" borderId="18" xfId="0" applyFill="1" applyBorder="1"/>
    <xf numFmtId="0" fontId="0" fillId="14" borderId="20" xfId="0" applyFill="1" applyBorder="1"/>
    <xf numFmtId="2" fontId="0" fillId="14" borderId="20" xfId="0" applyNumberFormat="1" applyFill="1" applyBorder="1"/>
    <xf numFmtId="2" fontId="0" fillId="14" borderId="23" xfId="0" applyNumberFormat="1" applyFill="1" applyBorder="1"/>
    <xf numFmtId="164" fontId="0" fillId="6" borderId="1" xfId="0" applyNumberFormat="1" applyFill="1" applyBorder="1"/>
    <xf numFmtId="164" fontId="0" fillId="21" borderId="1" xfId="0" applyNumberFormat="1" applyFill="1" applyBorder="1"/>
    <xf numFmtId="164" fontId="0" fillId="21" borderId="20" xfId="0" applyNumberFormat="1" applyFill="1" applyBorder="1"/>
    <xf numFmtId="164" fontId="0" fillId="21" borderId="27" xfId="0" applyNumberFormat="1" applyFill="1" applyBorder="1"/>
    <xf numFmtId="164" fontId="0" fillId="0" borderId="27" xfId="0" applyNumberFormat="1" applyFill="1" applyBorder="1"/>
    <xf numFmtId="164" fontId="0" fillId="0" borderId="1" xfId="0" applyNumberFormat="1" applyFill="1" applyBorder="1"/>
    <xf numFmtId="164" fontId="0" fillId="0" borderId="20" xfId="0" applyNumberFormat="1" applyFill="1" applyBorder="1"/>
    <xf numFmtId="9" fontId="2" fillId="0" borderId="73" xfId="5" applyFont="1" applyFill="1" applyBorder="1"/>
    <xf numFmtId="169" fontId="0" fillId="0" borderId="0" xfId="1" applyNumberFormat="1" applyFont="1" applyFill="1" applyBorder="1"/>
    <xf numFmtId="0" fontId="2" fillId="0" borderId="0" xfId="0" applyFont="1" applyFill="1" applyBorder="1" applyAlignment="1"/>
    <xf numFmtId="169" fontId="0" fillId="0" borderId="1" xfId="0" applyNumberFormat="1" applyBorder="1"/>
    <xf numFmtId="0" fontId="2" fillId="0" borderId="29" xfId="0" applyFont="1" applyFill="1" applyBorder="1"/>
    <xf numFmtId="164" fontId="0" fillId="0" borderId="29" xfId="0" applyNumberFormat="1" applyBorder="1"/>
    <xf numFmtId="169" fontId="0" fillId="0" borderId="29" xfId="0" applyNumberFormat="1" applyBorder="1"/>
    <xf numFmtId="0" fontId="2" fillId="0" borderId="1" xfId="0" applyFont="1" applyFill="1" applyBorder="1" applyAlignment="1"/>
    <xf numFmtId="0" fontId="2" fillId="0" borderId="36" xfId="0" applyFont="1" applyFill="1" applyBorder="1"/>
    <xf numFmtId="0" fontId="2" fillId="0" borderId="81" xfId="0" applyFont="1" applyFill="1" applyBorder="1"/>
    <xf numFmtId="0" fontId="14" fillId="0" borderId="85" xfId="0" applyFont="1" applyFill="1" applyBorder="1"/>
    <xf numFmtId="164" fontId="2" fillId="0" borderId="86" xfId="0" applyNumberFormat="1" applyFont="1" applyFill="1" applyBorder="1"/>
    <xf numFmtId="164" fontId="2" fillId="0" borderId="87" xfId="0" applyNumberFormat="1" applyFont="1" applyFill="1" applyBorder="1"/>
    <xf numFmtId="9" fontId="2" fillId="0" borderId="0" xfId="5" applyFont="1" applyFill="1" applyBorder="1"/>
    <xf numFmtId="164" fontId="2" fillId="0" borderId="33" xfId="0" applyNumberFormat="1" applyFont="1" applyFill="1" applyBorder="1"/>
    <xf numFmtId="0" fontId="2" fillId="0" borderId="30" xfId="0" applyFont="1" applyFill="1" applyBorder="1"/>
    <xf numFmtId="9" fontId="2" fillId="0" borderId="71" xfId="5" applyFont="1" applyFill="1" applyBorder="1"/>
    <xf numFmtId="0" fontId="14" fillId="0" borderId="72" xfId="0" applyFont="1" applyFill="1" applyBorder="1"/>
    <xf numFmtId="164" fontId="2" fillId="0" borderId="51" xfId="0" applyNumberFormat="1" applyFont="1" applyFill="1" applyBorder="1"/>
    <xf numFmtId="164" fontId="2" fillId="0" borderId="66" xfId="0" applyNumberFormat="1" applyFont="1" applyFill="1" applyBorder="1"/>
    <xf numFmtId="164" fontId="2" fillId="0" borderId="82" xfId="0" applyNumberFormat="1" applyFont="1" applyFill="1" applyBorder="1"/>
    <xf numFmtId="164" fontId="2" fillId="0" borderId="88" xfId="0" applyNumberFormat="1" applyFont="1" applyFill="1" applyBorder="1"/>
    <xf numFmtId="0" fontId="2" fillId="0" borderId="81" xfId="0" applyFont="1" applyFill="1" applyBorder="1" applyAlignment="1">
      <alignment horizontal="center"/>
    </xf>
    <xf numFmtId="0" fontId="14" fillId="0" borderId="85" xfId="0" applyFont="1" applyFill="1" applyBorder="1" applyAlignment="1">
      <alignment horizontal="center"/>
    </xf>
    <xf numFmtId="171" fontId="0" fillId="0" borderId="8" xfId="0" applyNumberFormat="1" applyBorder="1"/>
    <xf numFmtId="171" fontId="0" fillId="0" borderId="10" xfId="0" applyNumberFormat="1" applyBorder="1"/>
    <xf numFmtId="171" fontId="0" fillId="0" borderId="11" xfId="0" applyNumberFormat="1" applyBorder="1"/>
    <xf numFmtId="171" fontId="0" fillId="0" borderId="33" xfId="0" applyNumberFormat="1" applyBorder="1"/>
    <xf numFmtId="169" fontId="0" fillId="0" borderId="7" xfId="0" applyNumberFormat="1" applyBorder="1"/>
    <xf numFmtId="164" fontId="12" fillId="0" borderId="9" xfId="1" applyNumberFormat="1" applyFont="1" applyFill="1" applyBorder="1" applyAlignment="1">
      <alignment horizontal="left"/>
    </xf>
    <xf numFmtId="0" fontId="2" fillId="22" borderId="27" xfId="0" applyFont="1" applyFill="1" applyBorder="1" applyAlignment="1">
      <alignment horizontal="center"/>
    </xf>
    <xf numFmtId="170" fontId="0" fillId="23" borderId="1" xfId="0" applyNumberFormat="1" applyFill="1" applyBorder="1" applyAlignment="1">
      <alignment vertical="center"/>
    </xf>
    <xf numFmtId="0" fontId="0" fillId="23" borderId="1" xfId="0" applyFill="1" applyBorder="1"/>
    <xf numFmtId="16" fontId="0" fillId="23" borderId="1" xfId="0" applyNumberFormat="1" applyFill="1" applyBorder="1"/>
    <xf numFmtId="0" fontId="0" fillId="23" borderId="28" xfId="0" applyFill="1" applyBorder="1"/>
    <xf numFmtId="0" fontId="0" fillId="23" borderId="0" xfId="0" applyFill="1"/>
    <xf numFmtId="0" fontId="0" fillId="23" borderId="6" xfId="0" applyFill="1" applyBorder="1"/>
    <xf numFmtId="0" fontId="0" fillId="23" borderId="22" xfId="0" applyFill="1" applyBorder="1"/>
    <xf numFmtId="16" fontId="0" fillId="23" borderId="22" xfId="0" applyNumberFormat="1" applyFill="1" applyBorder="1"/>
    <xf numFmtId="0" fontId="0" fillId="23" borderId="49" xfId="0" applyFill="1" applyBorder="1"/>
    <xf numFmtId="0" fontId="0" fillId="23" borderId="29" xfId="0" applyFill="1" applyBorder="1"/>
    <xf numFmtId="16" fontId="0" fillId="23" borderId="29" xfId="0" applyNumberFormat="1" applyFill="1" applyBorder="1"/>
    <xf numFmtId="0" fontId="0" fillId="23" borderId="59" xfId="0" applyFill="1" applyBorder="1"/>
    <xf numFmtId="164" fontId="2" fillId="23" borderId="17" xfId="1" applyNumberFormat="1" applyFont="1" applyFill="1" applyBorder="1"/>
    <xf numFmtId="0" fontId="11" fillId="23" borderId="17" xfId="0" applyFont="1" applyFill="1" applyBorder="1" applyAlignment="1">
      <alignment horizontal="center"/>
    </xf>
    <xf numFmtId="43" fontId="0" fillId="23" borderId="17" xfId="0" applyNumberFormat="1" applyFill="1" applyBorder="1"/>
    <xf numFmtId="43" fontId="0" fillId="23" borderId="18" xfId="0" applyNumberFormat="1" applyFill="1" applyBorder="1"/>
    <xf numFmtId="164" fontId="8" fillId="23" borderId="1" xfId="1" applyNumberFormat="1" applyFont="1" applyFill="1" applyBorder="1"/>
    <xf numFmtId="0" fontId="11" fillId="23" borderId="1" xfId="0" applyFont="1" applyFill="1" applyBorder="1" applyAlignment="1">
      <alignment horizontal="center"/>
    </xf>
    <xf numFmtId="43" fontId="0" fillId="23" borderId="1" xfId="0" applyNumberFormat="1" applyFill="1" applyBorder="1"/>
    <xf numFmtId="43" fontId="0" fillId="23" borderId="20" xfId="0" applyNumberFormat="1" applyFill="1" applyBorder="1"/>
    <xf numFmtId="164" fontId="8" fillId="23" borderId="22" xfId="1" applyNumberFormat="1" applyFont="1" applyFill="1" applyBorder="1"/>
    <xf numFmtId="0" fontId="11" fillId="23" borderId="22" xfId="0" applyFont="1" applyFill="1" applyBorder="1" applyAlignment="1">
      <alignment horizontal="center"/>
    </xf>
    <xf numFmtId="10" fontId="0" fillId="23" borderId="22" xfId="5" applyNumberFormat="1" applyFont="1" applyFill="1" applyBorder="1"/>
    <xf numFmtId="43" fontId="0" fillId="23" borderId="22" xfId="0" applyNumberFormat="1" applyFill="1" applyBorder="1"/>
    <xf numFmtId="43" fontId="0" fillId="23" borderId="23" xfId="0" applyNumberFormat="1" applyFill="1" applyBorder="1"/>
    <xf numFmtId="0" fontId="3" fillId="23" borderId="3" xfId="2" applyFill="1" applyBorder="1"/>
    <xf numFmtId="164" fontId="0" fillId="23" borderId="27" xfId="0" applyNumberFormat="1" applyFill="1" applyBorder="1"/>
    <xf numFmtId="164" fontId="0" fillId="23" borderId="1" xfId="0" applyNumberFormat="1" applyFill="1" applyBorder="1"/>
    <xf numFmtId="164" fontId="0" fillId="23" borderId="20" xfId="0" applyNumberFormat="1" applyFill="1" applyBorder="1"/>
    <xf numFmtId="43" fontId="0" fillId="21" borderId="18" xfId="1" applyNumberFormat="1" applyFont="1" applyFill="1" applyBorder="1"/>
    <xf numFmtId="43" fontId="0" fillId="21" borderId="1" xfId="1" applyNumberFormat="1" applyFont="1" applyFill="1" applyBorder="1"/>
    <xf numFmtId="43" fontId="0" fillId="21" borderId="20" xfId="1" applyNumberFormat="1" applyFont="1" applyFill="1" applyBorder="1"/>
    <xf numFmtId="43" fontId="7" fillId="21" borderId="1" xfId="1" applyNumberFormat="1" applyFont="1" applyFill="1" applyBorder="1"/>
    <xf numFmtId="43" fontId="7" fillId="21" borderId="20" xfId="1" applyNumberFormat="1" applyFont="1" applyFill="1" applyBorder="1"/>
    <xf numFmtId="43" fontId="8" fillId="21" borderId="1" xfId="1" applyNumberFormat="1" applyFont="1" applyFill="1" applyBorder="1"/>
    <xf numFmtId="43" fontId="8" fillId="21" borderId="20" xfId="1" applyNumberFormat="1" applyFont="1" applyFill="1" applyBorder="1"/>
    <xf numFmtId="165" fontId="8" fillId="21" borderId="1" xfId="1" applyNumberFormat="1" applyFont="1" applyFill="1" applyBorder="1"/>
    <xf numFmtId="165" fontId="8" fillId="21" borderId="20" xfId="1" applyNumberFormat="1" applyFont="1" applyFill="1" applyBorder="1"/>
    <xf numFmtId="165" fontId="8" fillId="21" borderId="22" xfId="1" applyNumberFormat="1" applyFont="1" applyFill="1" applyBorder="1"/>
    <xf numFmtId="165" fontId="8" fillId="21" borderId="23" xfId="1" applyNumberFormat="1" applyFont="1" applyFill="1" applyBorder="1"/>
    <xf numFmtId="43" fontId="0" fillId="21" borderId="34" xfId="1" applyNumberFormat="1" applyFont="1" applyFill="1" applyBorder="1"/>
    <xf numFmtId="43" fontId="0" fillId="21" borderId="27" xfId="1" applyNumberFormat="1" applyFont="1" applyFill="1" applyBorder="1"/>
    <xf numFmtId="43" fontId="7" fillId="21" borderId="27" xfId="1" applyNumberFormat="1" applyFont="1" applyFill="1" applyBorder="1"/>
    <xf numFmtId="43" fontId="8" fillId="21" borderId="27" xfId="1" applyNumberFormat="1" applyFont="1" applyFill="1" applyBorder="1"/>
    <xf numFmtId="165" fontId="8" fillId="21" borderId="27" xfId="1" applyNumberFormat="1" applyFont="1" applyFill="1" applyBorder="1"/>
    <xf numFmtId="165" fontId="8" fillId="21" borderId="35" xfId="1" applyNumberFormat="1" applyFont="1" applyFill="1" applyBorder="1"/>
    <xf numFmtId="43" fontId="0" fillId="6" borderId="17" xfId="1" applyNumberFormat="1" applyFont="1" applyFill="1" applyBorder="1"/>
    <xf numFmtId="164" fontId="0" fillId="6" borderId="17" xfId="1" applyNumberFormat="1" applyFont="1" applyFill="1" applyBorder="1"/>
    <xf numFmtId="43" fontId="0" fillId="6" borderId="1" xfId="1" applyNumberFormat="1" applyFont="1" applyFill="1" applyBorder="1"/>
    <xf numFmtId="43" fontId="0" fillId="6" borderId="1" xfId="1" applyFont="1" applyFill="1" applyBorder="1"/>
    <xf numFmtId="43" fontId="7" fillId="6" borderId="1" xfId="1" applyNumberFormat="1" applyFont="1" applyFill="1" applyBorder="1"/>
    <xf numFmtId="43" fontId="8" fillId="6" borderId="1" xfId="1" applyNumberFormat="1" applyFont="1" applyFill="1" applyBorder="1"/>
    <xf numFmtId="165" fontId="8" fillId="6" borderId="1" xfId="1" applyNumberFormat="1" applyFont="1" applyFill="1" applyBorder="1"/>
    <xf numFmtId="0" fontId="0" fillId="6" borderId="0" xfId="0" applyFill="1"/>
    <xf numFmtId="165" fontId="8" fillId="6" borderId="22" xfId="1" applyNumberFormat="1" applyFont="1" applyFill="1" applyBorder="1"/>
    <xf numFmtId="0" fontId="0" fillId="3" borderId="1" xfId="0" applyFill="1" applyBorder="1"/>
    <xf numFmtId="164" fontId="0" fillId="3" borderId="1" xfId="0" applyNumberFormat="1" applyFill="1" applyBorder="1"/>
    <xf numFmtId="169" fontId="0" fillId="3" borderId="1" xfId="0" applyNumberFormat="1" applyFill="1" applyBorder="1"/>
    <xf numFmtId="0" fontId="0" fillId="0" borderId="66" xfId="0" applyBorder="1" applyAlignment="1">
      <alignment horizontal="center" wrapText="1"/>
    </xf>
    <xf numFmtId="43" fontId="0" fillId="20" borderId="7" xfId="0" applyNumberFormat="1" applyFill="1" applyBorder="1"/>
    <xf numFmtId="0" fontId="0" fillId="0" borderId="13" xfId="0" applyBorder="1" applyAlignment="1">
      <alignment horizontal="center" wrapText="1"/>
    </xf>
    <xf numFmtId="171" fontId="0" fillId="0" borderId="0" xfId="0" applyNumberFormat="1"/>
    <xf numFmtId="0" fontId="2" fillId="0" borderId="0" xfId="0" applyFont="1" applyBorder="1"/>
    <xf numFmtId="0" fontId="0" fillId="0" borderId="29" xfId="0" applyBorder="1" applyAlignment="1">
      <alignment horizontal="center" vertical="center"/>
    </xf>
    <xf numFmtId="0" fontId="0" fillId="23" borderId="29" xfId="0" applyFill="1" applyBorder="1" applyAlignment="1">
      <alignment horizontal="center" vertical="center"/>
    </xf>
    <xf numFmtId="0" fontId="0" fillId="23" borderId="71" xfId="0" applyFill="1" applyBorder="1" applyAlignment="1">
      <alignment horizontal="center" vertical="center"/>
    </xf>
    <xf numFmtId="0" fontId="0" fillId="23" borderId="7" xfId="0" applyFill="1" applyBorder="1" applyAlignment="1">
      <alignment horizontal="center" vertical="center"/>
    </xf>
    <xf numFmtId="0" fontId="0" fillId="23" borderId="73" xfId="0" applyFill="1" applyBorder="1" applyAlignment="1">
      <alignment horizontal="center" vertical="center"/>
    </xf>
    <xf numFmtId="169" fontId="0" fillId="0" borderId="0" xfId="0" applyNumberFormat="1"/>
    <xf numFmtId="1" fontId="0" fillId="0" borderId="0" xfId="0" applyNumberFormat="1"/>
    <xf numFmtId="0" fontId="0" fillId="0" borderId="0" xfId="0" applyAlignment="1">
      <alignment horizontal="right"/>
    </xf>
    <xf numFmtId="1" fontId="0" fillId="0" borderId="0" xfId="0" applyNumberFormat="1" applyFill="1"/>
    <xf numFmtId="2" fontId="0" fillId="0" borderId="0" xfId="0" applyNumberFormat="1"/>
    <xf numFmtId="16" fontId="0" fillId="0" borderId="0" xfId="0" quotePrefix="1" applyNumberFormat="1" applyAlignment="1">
      <alignment horizontal="right"/>
    </xf>
    <xf numFmtId="168" fontId="0" fillId="0" borderId="0" xfId="0" applyNumberFormat="1"/>
    <xf numFmtId="0" fontId="0" fillId="0" borderId="0" xfId="0" applyAlignment="1">
      <alignment wrapText="1"/>
    </xf>
    <xf numFmtId="10" fontId="0" fillId="0" borderId="0" xfId="0" applyNumberFormat="1" applyAlignment="1">
      <alignment horizontal="right"/>
    </xf>
    <xf numFmtId="172" fontId="0" fillId="0" borderId="0" xfId="0" applyNumberFormat="1"/>
    <xf numFmtId="0" fontId="2" fillId="0" borderId="11" xfId="0" applyFont="1" applyBorder="1"/>
    <xf numFmtId="0" fontId="2" fillId="0" borderId="13" xfId="0" applyFont="1" applyBorder="1"/>
    <xf numFmtId="0" fontId="2" fillId="0" borderId="0" xfId="0" applyFont="1" applyAlignment="1">
      <alignment horizontal="right" wrapText="1"/>
    </xf>
    <xf numFmtId="0" fontId="2" fillId="0" borderId="0" xfId="0" applyFont="1" applyAlignment="1">
      <alignment wrapText="1"/>
    </xf>
    <xf numFmtId="0" fontId="2" fillId="0" borderId="8" xfId="0" applyFont="1" applyFill="1" applyBorder="1"/>
    <xf numFmtId="0" fontId="0" fillId="0" borderId="0" xfId="0" applyFill="1" applyAlignment="1">
      <alignment horizontal="right"/>
    </xf>
    <xf numFmtId="1" fontId="0" fillId="0" borderId="0" xfId="0" applyNumberFormat="1" applyBorder="1" applyAlignment="1">
      <alignment horizontal="right"/>
    </xf>
    <xf numFmtId="1" fontId="0" fillId="0" borderId="33" xfId="0" applyNumberFormat="1" applyBorder="1" applyAlignment="1">
      <alignment horizontal="right"/>
    </xf>
    <xf numFmtId="1" fontId="0" fillId="0" borderId="49" xfId="0" applyNumberFormat="1" applyBorder="1" applyAlignment="1">
      <alignment horizontal="right"/>
    </xf>
    <xf numFmtId="1" fontId="0" fillId="0" borderId="66" xfId="0" applyNumberFormat="1" applyBorder="1" applyAlignment="1">
      <alignment horizontal="right"/>
    </xf>
    <xf numFmtId="0" fontId="2" fillId="0" borderId="0" xfId="0" applyFont="1" applyFill="1" applyAlignment="1">
      <alignment horizontal="right"/>
    </xf>
    <xf numFmtId="0" fontId="0" fillId="0" borderId="0" xfId="0" applyFill="1" applyAlignment="1">
      <alignment horizontal="center"/>
    </xf>
    <xf numFmtId="0" fontId="2" fillId="0" borderId="0" xfId="0" applyFont="1" applyFill="1" applyAlignment="1">
      <alignment horizontal="right" wrapText="1"/>
    </xf>
    <xf numFmtId="2" fontId="0" fillId="0" borderId="0" xfId="0" applyNumberFormat="1" applyFill="1"/>
    <xf numFmtId="0" fontId="0" fillId="0" borderId="0" xfId="0" applyAlignment="1">
      <alignment wrapText="1"/>
    </xf>
    <xf numFmtId="0" fontId="0" fillId="0" borderId="0" xfId="0" applyFont="1" applyFill="1" applyBorder="1"/>
    <xf numFmtId="0" fontId="2" fillId="30" borderId="0" xfId="0" applyFont="1" applyFill="1" applyAlignment="1">
      <alignment horizontal="right"/>
    </xf>
    <xf numFmtId="1" fontId="0" fillId="0" borderId="0" xfId="0" applyNumberFormat="1" applyAlignment="1">
      <alignment horizontal="right"/>
    </xf>
    <xf numFmtId="3" fontId="0" fillId="0" borderId="0" xfId="0" applyNumberFormat="1" applyAlignment="1">
      <alignment horizontal="right"/>
    </xf>
    <xf numFmtId="10" fontId="0" fillId="0" borderId="91" xfId="0" applyNumberFormat="1" applyFill="1" applyBorder="1"/>
    <xf numFmtId="10" fontId="0" fillId="0" borderId="0" xfId="0" applyNumberFormat="1" applyFill="1" applyAlignment="1">
      <alignment horizontal="right"/>
    </xf>
    <xf numFmtId="3" fontId="0" fillId="0" borderId="78" xfId="0" applyNumberFormat="1" applyBorder="1"/>
    <xf numFmtId="3" fontId="0" fillId="0" borderId="79" xfId="0" applyNumberFormat="1" applyBorder="1"/>
    <xf numFmtId="3" fontId="2" fillId="0" borderId="0" xfId="0" applyNumberFormat="1" applyFont="1"/>
    <xf numFmtId="0" fontId="0" fillId="0" borderId="11" xfId="0" applyFill="1" applyBorder="1"/>
    <xf numFmtId="0" fontId="0" fillId="0" borderId="33" xfId="0" applyFill="1" applyBorder="1"/>
    <xf numFmtId="9" fontId="0" fillId="0" borderId="0" xfId="0" applyNumberFormat="1" applyBorder="1"/>
    <xf numFmtId="3" fontId="0" fillId="0" borderId="0" xfId="0" applyNumberFormat="1" applyFill="1"/>
    <xf numFmtId="0" fontId="2" fillId="0" borderId="84" xfId="0" applyFont="1" applyBorder="1" applyAlignment="1">
      <alignment horizontal="right"/>
    </xf>
    <xf numFmtId="3" fontId="0" fillId="0" borderId="0" xfId="0" applyNumberFormat="1" applyBorder="1"/>
    <xf numFmtId="0" fontId="2" fillId="0" borderId="79" xfId="0" applyFont="1" applyFill="1" applyBorder="1" applyAlignment="1">
      <alignment horizontal="center"/>
    </xf>
    <xf numFmtId="1" fontId="18" fillId="0" borderId="0" xfId="0" applyNumberFormat="1" applyFont="1"/>
    <xf numFmtId="3" fontId="0" fillId="0" borderId="11" xfId="0" applyNumberFormat="1" applyBorder="1"/>
    <xf numFmtId="10" fontId="0" fillId="0" borderId="0" xfId="0" applyNumberFormat="1"/>
    <xf numFmtId="0" fontId="26" fillId="0" borderId="0" xfId="0" applyFont="1"/>
    <xf numFmtId="0" fontId="0" fillId="0" borderId="0" xfId="0" applyFill="1" applyAlignment="1">
      <alignment horizontal="center"/>
    </xf>
    <xf numFmtId="168" fontId="0" fillId="0" borderId="0" xfId="0" applyNumberFormat="1" applyFont="1" applyFill="1" applyAlignment="1">
      <alignment horizontal="right" wrapText="1"/>
    </xf>
    <xf numFmtId="168" fontId="0" fillId="0" borderId="0" xfId="0" applyNumberFormat="1" applyFont="1"/>
    <xf numFmtId="2" fontId="0" fillId="0" borderId="0" xfId="0" applyNumberFormat="1" applyAlignment="1">
      <alignment horizontal="right"/>
    </xf>
    <xf numFmtId="0" fontId="2" fillId="0" borderId="78" xfId="0" applyFont="1" applyFill="1" applyBorder="1" applyAlignment="1">
      <alignment horizontal="center"/>
    </xf>
    <xf numFmtId="0" fontId="2" fillId="0" borderId="33" xfId="0" applyFont="1" applyFill="1" applyBorder="1" applyAlignment="1">
      <alignment horizontal="center"/>
    </xf>
    <xf numFmtId="1" fontId="0" fillId="0" borderId="8" xfId="0" applyNumberFormat="1" applyFont="1" applyFill="1" applyBorder="1" applyAlignment="1">
      <alignment horizontal="right"/>
    </xf>
    <xf numFmtId="1" fontId="0" fillId="0" borderId="11" xfId="0" applyNumberFormat="1" applyFont="1" applyFill="1" applyBorder="1" applyAlignment="1">
      <alignment horizontal="right"/>
    </xf>
    <xf numFmtId="1" fontId="0" fillId="0" borderId="11" xfId="0" applyNumberFormat="1" applyFont="1" applyBorder="1" applyAlignment="1">
      <alignment horizontal="right"/>
    </xf>
    <xf numFmtId="3" fontId="0" fillId="0" borderId="77" xfId="0" applyNumberFormat="1" applyFont="1" applyFill="1" applyBorder="1" applyAlignment="1">
      <alignment horizontal="right"/>
    </xf>
    <xf numFmtId="3" fontId="0" fillId="0" borderId="78" xfId="0" applyNumberFormat="1" applyFont="1" applyFill="1" applyBorder="1" applyAlignment="1">
      <alignment horizontal="right"/>
    </xf>
    <xf numFmtId="9" fontId="0" fillId="0" borderId="0" xfId="0" applyNumberFormat="1" applyFill="1" applyBorder="1"/>
    <xf numFmtId="0" fontId="18" fillId="0" borderId="0" xfId="0" applyFont="1" applyAlignment="1">
      <alignment horizontal="right"/>
    </xf>
    <xf numFmtId="3" fontId="2" fillId="0" borderId="0" xfId="0" applyNumberFormat="1" applyFont="1" applyFill="1" applyAlignment="1">
      <alignment horizontal="right"/>
    </xf>
    <xf numFmtId="0" fontId="18" fillId="0" borderId="0" xfId="0" applyFont="1" applyFill="1"/>
    <xf numFmtId="168" fontId="0" fillId="0" borderId="0" xfId="0" applyNumberFormat="1" applyBorder="1"/>
    <xf numFmtId="3" fontId="0" fillId="0" borderId="33" xfId="0" applyNumberFormat="1" applyBorder="1"/>
    <xf numFmtId="3" fontId="0" fillId="0" borderId="66" xfId="0" applyNumberFormat="1" applyBorder="1"/>
    <xf numFmtId="9" fontId="0" fillId="0" borderId="0" xfId="0" applyNumberFormat="1"/>
    <xf numFmtId="3" fontId="23" fillId="0" borderId="0" xfId="8" applyNumberFormat="1" applyFill="1" applyBorder="1"/>
    <xf numFmtId="3" fontId="18" fillId="0" borderId="0" xfId="0" applyNumberFormat="1" applyFont="1"/>
    <xf numFmtId="168" fontId="3" fillId="7" borderId="3" xfId="2" applyNumberFormat="1"/>
    <xf numFmtId="168" fontId="3" fillId="7" borderId="0" xfId="2" applyNumberFormat="1" applyBorder="1"/>
    <xf numFmtId="0" fontId="2" fillId="0" borderId="19" xfId="0" applyFont="1" applyBorder="1" applyAlignment="1">
      <alignment horizontal="left" vertical="center"/>
    </xf>
    <xf numFmtId="0" fontId="2" fillId="21" borderId="36" xfId="0" applyFont="1" applyFill="1" applyBorder="1"/>
    <xf numFmtId="0" fontId="2" fillId="21" borderId="37" xfId="0" applyFont="1" applyFill="1" applyBorder="1"/>
    <xf numFmtId="0" fontId="2" fillId="21" borderId="30" xfId="0" applyFont="1" applyFill="1" applyBorder="1"/>
    <xf numFmtId="0" fontId="2" fillId="6" borderId="36" xfId="0" applyFont="1" applyFill="1" applyBorder="1"/>
    <xf numFmtId="0" fontId="2" fillId="6" borderId="37" xfId="0" applyFont="1" applyFill="1" applyBorder="1"/>
    <xf numFmtId="0" fontId="2" fillId="6" borderId="30" xfId="0" applyFont="1" applyFill="1" applyBorder="1"/>
    <xf numFmtId="0" fontId="2" fillId="0" borderId="0" xfId="0" applyFont="1" applyBorder="1" applyAlignment="1">
      <alignment horizontal="left" vertical="center"/>
    </xf>
    <xf numFmtId="0" fontId="30" fillId="0" borderId="0" xfId="0" applyFont="1" applyAlignment="1">
      <alignment horizontal="left" vertical="center"/>
    </xf>
    <xf numFmtId="0" fontId="31" fillId="0" borderId="0" xfId="10"/>
    <xf numFmtId="43" fontId="30" fillId="0" borderId="0" xfId="0" applyNumberFormat="1" applyFont="1" applyAlignment="1">
      <alignment horizontal="left" vertical="center"/>
    </xf>
    <xf numFmtId="0" fontId="2" fillId="0" borderId="0" xfId="0" applyFont="1" applyFill="1" applyBorder="1" applyAlignment="1">
      <alignment horizontal="left" vertical="center"/>
    </xf>
    <xf numFmtId="3" fontId="2" fillId="0" borderId="7" xfId="0" applyNumberFormat="1" applyFont="1" applyBorder="1"/>
    <xf numFmtId="3" fontId="0" fillId="0" borderId="49" xfId="0" applyNumberFormat="1" applyBorder="1"/>
    <xf numFmtId="0" fontId="2" fillId="0" borderId="0" xfId="0" applyFont="1" applyBorder="1" applyAlignment="1">
      <alignment horizontal="right" vertical="center"/>
    </xf>
    <xf numFmtId="0" fontId="2" fillId="0" borderId="17" xfId="0" applyFont="1" applyBorder="1" applyAlignment="1">
      <alignment horizontal="left" vertical="center"/>
    </xf>
    <xf numFmtId="0" fontId="0" fillId="0" borderId="0" xfId="0" applyFill="1" applyAlignment="1">
      <alignment horizontal="center"/>
    </xf>
    <xf numFmtId="0" fontId="0" fillId="0" borderId="0" xfId="0" applyFont="1" applyFill="1"/>
    <xf numFmtId="2" fontId="0" fillId="0" borderId="0" xfId="1" applyNumberFormat="1" applyFont="1" applyFill="1" applyBorder="1" applyAlignment="1" applyProtection="1">
      <alignment horizontal="right"/>
    </xf>
    <xf numFmtId="3" fontId="0" fillId="0" borderId="0" xfId="0" applyNumberFormat="1" applyFill="1" applyAlignment="1">
      <alignment horizontal="right"/>
    </xf>
    <xf numFmtId="0" fontId="0" fillId="0" borderId="11" xfId="0" applyFont="1" applyBorder="1"/>
    <xf numFmtId="0" fontId="2" fillId="0" borderId="92" xfId="0" applyFont="1" applyFill="1" applyBorder="1" applyAlignment="1">
      <alignment horizontal="center"/>
    </xf>
    <xf numFmtId="0" fontId="2" fillId="0" borderId="39" xfId="0" applyFont="1" applyFill="1" applyBorder="1" applyAlignment="1">
      <alignment horizontal="center"/>
    </xf>
    <xf numFmtId="0" fontId="2" fillId="0" borderId="18" xfId="0" applyFont="1" applyBorder="1" applyAlignment="1"/>
    <xf numFmtId="3" fontId="2" fillId="0" borderId="80" xfId="0" applyNumberFormat="1" applyFont="1" applyBorder="1"/>
    <xf numFmtId="0" fontId="11" fillId="0" borderId="49" xfId="0" applyFont="1" applyFill="1" applyBorder="1" applyAlignment="1">
      <alignment horizontal="center"/>
    </xf>
    <xf numFmtId="0" fontId="11" fillId="0" borderId="2" xfId="0" applyFont="1" applyBorder="1"/>
    <xf numFmtId="0" fontId="14" fillId="0" borderId="65" xfId="0" applyFont="1" applyBorder="1"/>
    <xf numFmtId="0" fontId="14" fillId="0" borderId="93" xfId="0" applyFont="1" applyBorder="1"/>
    <xf numFmtId="164" fontId="0" fillId="17" borderId="19" xfId="0" applyNumberFormat="1" applyFill="1" applyBorder="1"/>
    <xf numFmtId="164" fontId="0" fillId="17" borderId="16" xfId="0" applyNumberFormat="1" applyFill="1" applyBorder="1"/>
    <xf numFmtId="164" fontId="0" fillId="17" borderId="17" xfId="0" applyNumberFormat="1" applyFill="1" applyBorder="1"/>
    <xf numFmtId="164" fontId="0" fillId="13" borderId="17" xfId="0" applyNumberFormat="1" applyFill="1" applyBorder="1"/>
    <xf numFmtId="164" fontId="0" fillId="17" borderId="18" xfId="0" applyNumberFormat="1" applyFill="1" applyBorder="1"/>
    <xf numFmtId="164" fontId="0" fillId="0" borderId="19" xfId="0" applyNumberFormat="1" applyBorder="1"/>
    <xf numFmtId="164" fontId="0" fillId="0" borderId="21" xfId="0" applyNumberFormat="1" applyBorder="1"/>
    <xf numFmtId="164" fontId="0" fillId="0" borderId="22" xfId="0" applyNumberFormat="1" applyBorder="1"/>
    <xf numFmtId="164" fontId="0" fillId="0" borderId="23" xfId="0" applyNumberFormat="1" applyBorder="1"/>
    <xf numFmtId="3" fontId="0" fillId="31" borderId="0" xfId="0" applyNumberFormat="1" applyFill="1"/>
    <xf numFmtId="0" fontId="0" fillId="0" borderId="0" xfId="0" applyFill="1" applyAlignment="1">
      <alignment horizontal="center"/>
    </xf>
    <xf numFmtId="173" fontId="0" fillId="0" borderId="0" xfId="0" applyNumberFormat="1"/>
    <xf numFmtId="3" fontId="0" fillId="28" borderId="0" xfId="0" applyNumberFormat="1" applyFill="1" applyBorder="1"/>
    <xf numFmtId="3" fontId="1" fillId="0" borderId="0" xfId="8" applyNumberFormat="1" applyFont="1" applyFill="1" applyBorder="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3" fontId="18" fillId="0" borderId="0" xfId="0" applyNumberFormat="1" applyFont="1" applyBorder="1"/>
    <xf numFmtId="0" fontId="0" fillId="0" borderId="0" xfId="0" applyBorder="1" applyAlignment="1">
      <alignment horizontal="right"/>
    </xf>
    <xf numFmtId="3" fontId="0" fillId="0" borderId="0" xfId="0" applyNumberFormat="1" applyFill="1" applyBorder="1"/>
    <xf numFmtId="0" fontId="2" fillId="0" borderId="9" xfId="0" applyFont="1" applyBorder="1" applyAlignment="1">
      <alignment horizontal="left" vertical="center"/>
    </xf>
    <xf numFmtId="172" fontId="2" fillId="0" borderId="0" xfId="0" applyNumberFormat="1" applyFont="1" applyAlignment="1">
      <alignment horizontal="right"/>
    </xf>
    <xf numFmtId="0" fontId="2" fillId="0" borderId="0" xfId="0" applyFont="1" applyAlignment="1">
      <alignment horizontal="right"/>
    </xf>
    <xf numFmtId="175" fontId="0" fillId="0" borderId="0" xfId="0" applyNumberFormat="1"/>
    <xf numFmtId="10" fontId="0" fillId="0" borderId="0" xfId="0" applyNumberFormat="1" applyBorder="1"/>
    <xf numFmtId="0" fontId="0" fillId="0" borderId="0" xfId="0" applyFill="1" applyBorder="1" applyAlignment="1">
      <alignment horizontal="right"/>
    </xf>
    <xf numFmtId="0" fontId="0" fillId="0" borderId="78" xfId="0" applyBorder="1"/>
    <xf numFmtId="0" fontId="0" fillId="0" borderId="79" xfId="0" applyBorder="1"/>
    <xf numFmtId="0" fontId="34" fillId="0" borderId="0" xfId="0" applyFont="1"/>
    <xf numFmtId="9" fontId="0" fillId="0" borderId="0" xfId="0" applyNumberFormat="1" applyFill="1" applyAlignment="1">
      <alignment horizontal="right"/>
    </xf>
    <xf numFmtId="0" fontId="35" fillId="0" borderId="0" xfId="0" applyFont="1" applyAlignment="1">
      <alignment horizontal="left" vertical="center"/>
    </xf>
    <xf numFmtId="0" fontId="0" fillId="0" borderId="0" xfId="0" applyAlignment="1">
      <alignment horizontal="center"/>
    </xf>
    <xf numFmtId="9" fontId="0" fillId="0" borderId="0" xfId="0" applyNumberFormat="1" applyFill="1"/>
    <xf numFmtId="0" fontId="19" fillId="0" borderId="0" xfId="0" applyFont="1"/>
    <xf numFmtId="167" fontId="0" fillId="0" borderId="0" xfId="0" applyNumberFormat="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3" fontId="18" fillId="0" borderId="0" xfId="0" applyNumberFormat="1" applyFont="1" applyFill="1"/>
    <xf numFmtId="0" fontId="0" fillId="0" borderId="0" xfId="0" applyAlignment="1">
      <alignment horizontal="center"/>
    </xf>
    <xf numFmtId="0" fontId="2" fillId="31" borderId="0" xfId="0" applyFont="1" applyFill="1" applyBorder="1"/>
    <xf numFmtId="0" fontId="0" fillId="31" borderId="0" xfId="0" applyFill="1" applyBorder="1"/>
    <xf numFmtId="0" fontId="0" fillId="31" borderId="96" xfId="0" applyFill="1" applyBorder="1"/>
    <xf numFmtId="0" fontId="0" fillId="31" borderId="97" xfId="0" applyFill="1" applyBorder="1"/>
    <xf numFmtId="0" fontId="0" fillId="31" borderId="0" xfId="0" applyFont="1" applyFill="1" applyBorder="1"/>
    <xf numFmtId="0" fontId="0" fillId="31" borderId="98" xfId="0" applyFill="1" applyBorder="1"/>
    <xf numFmtId="0" fontId="0" fillId="31" borderId="95" xfId="0" applyFill="1" applyBorder="1"/>
    <xf numFmtId="0" fontId="0" fillId="31" borderId="99" xfId="0" applyFill="1" applyBorder="1"/>
    <xf numFmtId="0" fontId="37" fillId="13" borderId="0" xfId="0" applyFont="1" applyFill="1"/>
    <xf numFmtId="1" fontId="0" fillId="0" borderId="67" xfId="0" applyNumberFormat="1" applyBorder="1"/>
    <xf numFmtId="0" fontId="0" fillId="13" borderId="0" xfId="0" applyFill="1" applyBorder="1"/>
    <xf numFmtId="0" fontId="0" fillId="13" borderId="0" xfId="0" applyFill="1"/>
    <xf numFmtId="173" fontId="0" fillId="0" borderId="0" xfId="0" applyNumberFormat="1" applyFill="1"/>
    <xf numFmtId="0" fontId="2" fillId="0" borderId="16" xfId="0" applyFont="1" applyBorder="1" applyAlignment="1"/>
    <xf numFmtId="0" fontId="2" fillId="0" borderId="10" xfId="0" applyFont="1" applyBorder="1" applyAlignment="1">
      <alignment horizontal="left" vertical="center"/>
    </xf>
    <xf numFmtId="3" fontId="2" fillId="0" borderId="24" xfId="0" applyNumberFormat="1" applyFont="1" applyBorder="1"/>
    <xf numFmtId="3" fontId="0" fillId="0" borderId="13" xfId="0" applyNumberFormat="1" applyBorder="1"/>
    <xf numFmtId="174" fontId="32" fillId="0" borderId="0" xfId="12" applyNumberFormat="1" applyFill="1" applyBorder="1" applyProtection="1"/>
    <xf numFmtId="11" fontId="7" fillId="0" borderId="0" xfId="12" applyNumberFormat="1" applyFont="1" applyFill="1" applyBorder="1" applyProtection="1"/>
    <xf numFmtId="0" fontId="0" fillId="0" borderId="0" xfId="0" applyFill="1" applyBorder="1" applyAlignment="1">
      <alignment horizontal="center"/>
    </xf>
    <xf numFmtId="2" fontId="0" fillId="31" borderId="0" xfId="0" applyNumberFormat="1" applyFill="1" applyBorder="1"/>
    <xf numFmtId="0" fontId="2" fillId="31" borderId="100" xfId="0" applyFont="1" applyFill="1" applyBorder="1"/>
    <xf numFmtId="0" fontId="0" fillId="31" borderId="101" xfId="0" applyFill="1" applyBorder="1"/>
    <xf numFmtId="0" fontId="0" fillId="31" borderId="102" xfId="0" applyFont="1" applyFill="1" applyBorder="1"/>
    <xf numFmtId="0" fontId="0" fillId="31" borderId="102" xfId="0" applyFill="1" applyBorder="1"/>
    <xf numFmtId="43" fontId="0" fillId="31" borderId="102" xfId="0" applyNumberFormat="1" applyFill="1" applyBorder="1"/>
    <xf numFmtId="2" fontId="0" fillId="31" borderId="102" xfId="0" applyNumberFormat="1" applyFill="1" applyBorder="1"/>
    <xf numFmtId="2" fontId="0" fillId="31" borderId="98" xfId="0" applyNumberFormat="1" applyFill="1" applyBorder="1"/>
    <xf numFmtId="0" fontId="18" fillId="31" borderId="0" xfId="0" applyFont="1" applyFill="1" applyBorder="1"/>
    <xf numFmtId="2" fontId="18" fillId="31" borderId="0" xfId="0" applyNumberFormat="1" applyFont="1" applyFill="1" applyBorder="1"/>
    <xf numFmtId="43" fontId="0" fillId="31" borderId="102" xfId="0" applyNumberFormat="1" applyFill="1" applyBorder="1" applyAlignment="1">
      <alignment horizontal="left"/>
    </xf>
    <xf numFmtId="0" fontId="18" fillId="31" borderId="0" xfId="0" applyFont="1" applyFill="1" applyAlignment="1">
      <alignment vertical="center"/>
    </xf>
    <xf numFmtId="0" fontId="37" fillId="33" borderId="0" xfId="0" applyFont="1" applyFill="1"/>
    <xf numFmtId="0" fontId="0" fillId="33" borderId="0" xfId="0" applyFill="1" applyBorder="1"/>
    <xf numFmtId="3" fontId="0" fillId="33" borderId="0" xfId="0" applyNumberFormat="1" applyFill="1" applyBorder="1"/>
    <xf numFmtId="0" fontId="0" fillId="33" borderId="0" xfId="0" applyFill="1" applyBorder="1" applyAlignment="1">
      <alignment horizontal="left"/>
    </xf>
    <xf numFmtId="0" fontId="0" fillId="33" borderId="0" xfId="0" applyFill="1" applyBorder="1" applyAlignment="1">
      <alignment horizontal="right"/>
    </xf>
    <xf numFmtId="3" fontId="0" fillId="33" borderId="0" xfId="0" applyNumberFormat="1" applyFill="1"/>
    <xf numFmtId="0" fontId="0" fillId="33" borderId="0" xfId="0" applyFill="1"/>
    <xf numFmtId="0" fontId="7" fillId="33" borderId="0" xfId="19" applyFont="1" applyFill="1" applyBorder="1"/>
    <xf numFmtId="3" fontId="7" fillId="33" borderId="0" xfId="19" applyNumberFormat="1" applyFont="1" applyFill="1"/>
    <xf numFmtId="1" fontId="0" fillId="33" borderId="0" xfId="0" applyNumberFormat="1" applyFill="1"/>
    <xf numFmtId="0" fontId="31" fillId="31" borderId="0" xfId="10" applyFill="1" applyBorder="1"/>
    <xf numFmtId="0" fontId="40" fillId="31" borderId="0" xfId="10" applyFont="1" applyFill="1" applyBorder="1"/>
    <xf numFmtId="3" fontId="0" fillId="31" borderId="102" xfId="0" applyNumberFormat="1" applyFont="1" applyFill="1" applyBorder="1"/>
    <xf numFmtId="0" fontId="7" fillId="31" borderId="102" xfId="10" applyFont="1" applyFill="1" applyBorder="1"/>
    <xf numFmtId="0" fontId="18" fillId="31" borderId="95" xfId="0" applyFont="1" applyFill="1" applyBorder="1"/>
    <xf numFmtId="0" fontId="2" fillId="31" borderId="102" xfId="0" applyFont="1" applyFill="1" applyBorder="1"/>
    <xf numFmtId="0" fontId="2" fillId="0" borderId="0" xfId="0" applyFont="1" applyBorder="1" applyAlignment="1">
      <alignment wrapText="1"/>
    </xf>
    <xf numFmtId="0" fontId="2" fillId="0" borderId="0" xfId="0" applyFont="1" applyFill="1" applyBorder="1" applyAlignment="1">
      <alignment horizontal="right"/>
    </xf>
    <xf numFmtId="0" fontId="37" fillId="0" borderId="84" xfId="0" applyFont="1" applyBorder="1" applyAlignment="1">
      <alignment vertical="center"/>
    </xf>
    <xf numFmtId="0" fontId="37" fillId="0" borderId="91" xfId="0" applyFont="1" applyBorder="1" applyAlignment="1">
      <alignment vertical="center"/>
    </xf>
    <xf numFmtId="168" fontId="0" fillId="0" borderId="0" xfId="0" applyNumberFormat="1" applyFill="1"/>
    <xf numFmtId="0" fontId="0" fillId="31" borderId="102" xfId="0" applyFill="1" applyBorder="1" applyAlignment="1">
      <alignment wrapText="1"/>
    </xf>
    <xf numFmtId="0" fontId="0" fillId="0" borderId="0" xfId="0" applyFill="1" applyAlignment="1">
      <alignment horizontal="right" wrapText="1"/>
    </xf>
    <xf numFmtId="0" fontId="0" fillId="0" borderId="0" xfId="0" quotePrefix="1" applyFill="1" applyAlignment="1">
      <alignment horizontal="right"/>
    </xf>
    <xf numFmtId="0" fontId="0" fillId="33" borderId="0" xfId="0" applyFill="1" applyAlignment="1">
      <alignment horizontal="right"/>
    </xf>
    <xf numFmtId="3" fontId="1" fillId="33" borderId="0" xfId="7" applyNumberFormat="1" applyFont="1" applyFill="1"/>
    <xf numFmtId="0" fontId="0" fillId="33" borderId="8" xfId="0" applyFill="1" applyBorder="1"/>
    <xf numFmtId="3" fontId="0" fillId="0" borderId="49" xfId="0" applyNumberFormat="1" applyFill="1" applyBorder="1"/>
    <xf numFmtId="0" fontId="0" fillId="0" borderId="49" xfId="0" applyFill="1" applyBorder="1"/>
    <xf numFmtId="0" fontId="0" fillId="0" borderId="66" xfId="0" applyFill="1" applyBorder="1"/>
    <xf numFmtId="0" fontId="0" fillId="33" borderId="11" xfId="0" applyFill="1" applyBorder="1" applyAlignment="1">
      <alignment horizontal="right"/>
    </xf>
    <xf numFmtId="1" fontId="0" fillId="33" borderId="11" xfId="0" quotePrefix="1" applyNumberFormat="1" applyFill="1" applyBorder="1" applyAlignment="1">
      <alignment horizontal="right"/>
    </xf>
    <xf numFmtId="0" fontId="0" fillId="33" borderId="13" xfId="0" applyFill="1" applyBorder="1" applyAlignment="1">
      <alignment horizontal="right"/>
    </xf>
    <xf numFmtId="0" fontId="0" fillId="33" borderId="11" xfId="0" applyFill="1" applyBorder="1"/>
    <xf numFmtId="0" fontId="0" fillId="33" borderId="13" xfId="0" applyFill="1" applyBorder="1"/>
    <xf numFmtId="0" fontId="0" fillId="0" borderId="0" xfId="0" applyProtection="1">
      <protection locked="0"/>
    </xf>
    <xf numFmtId="0" fontId="0" fillId="0" borderId="0" xfId="0" applyAlignment="1" applyProtection="1">
      <alignment horizontal="right"/>
      <protection locked="0"/>
    </xf>
    <xf numFmtId="3" fontId="0" fillId="13" borderId="0" xfId="0" applyNumberFormat="1" applyFill="1" applyBorder="1" applyProtection="1">
      <protection locked="0"/>
    </xf>
    <xf numFmtId="3" fontId="0" fillId="13" borderId="0" xfId="0" applyNumberFormat="1" applyFill="1" applyProtection="1">
      <protection locked="0"/>
    </xf>
    <xf numFmtId="3" fontId="0" fillId="0" borderId="0" xfId="0" applyNumberFormat="1" applyFill="1" applyBorder="1" applyAlignment="1">
      <alignment horizontal="right"/>
    </xf>
    <xf numFmtId="1" fontId="0" fillId="0" borderId="0" xfId="0" applyNumberFormat="1" applyFill="1" applyBorder="1"/>
    <xf numFmtId="10" fontId="2" fillId="0" borderId="0" xfId="0" applyNumberFormat="1" applyFont="1" applyFill="1" applyBorder="1" applyAlignment="1">
      <alignment horizontal="right"/>
    </xf>
    <xf numFmtId="0" fontId="0" fillId="13" borderId="33" xfId="0" applyFill="1" applyBorder="1" applyProtection="1">
      <protection locked="0"/>
    </xf>
    <xf numFmtId="3" fontId="0" fillId="33" borderId="10" xfId="0" applyNumberFormat="1" applyFill="1" applyBorder="1"/>
    <xf numFmtId="3" fontId="0" fillId="33" borderId="33" xfId="0" applyNumberFormat="1" applyFill="1" applyBorder="1"/>
    <xf numFmtId="3" fontId="0" fillId="33" borderId="66" xfId="0" applyNumberFormat="1" applyFill="1" applyBorder="1"/>
    <xf numFmtId="0" fontId="0" fillId="33" borderId="8" xfId="0" applyFont="1" applyFill="1" applyBorder="1" applyAlignment="1">
      <alignment horizontal="right"/>
    </xf>
    <xf numFmtId="0" fontId="2" fillId="0" borderId="9" xfId="0" applyFont="1" applyFill="1" applyBorder="1"/>
    <xf numFmtId="3" fontId="0" fillId="33" borderId="0" xfId="0" applyNumberFormat="1" applyFill="1" applyBorder="1" applyAlignment="1">
      <alignment horizontal="center"/>
    </xf>
    <xf numFmtId="3" fontId="0" fillId="33" borderId="49" xfId="0" applyNumberFormat="1" applyFill="1" applyBorder="1" applyAlignment="1">
      <alignment horizontal="center"/>
    </xf>
    <xf numFmtId="3" fontId="2" fillId="33" borderId="9" xfId="0" applyNumberFormat="1" applyFont="1" applyFill="1" applyBorder="1"/>
    <xf numFmtId="1" fontId="0" fillId="31" borderId="102" xfId="0" applyNumberFormat="1" applyFill="1" applyBorder="1"/>
    <xf numFmtId="2" fontId="0" fillId="0" borderId="0" xfId="0" applyNumberFormat="1" applyBorder="1"/>
    <xf numFmtId="3" fontId="2" fillId="0" borderId="0" xfId="0" applyNumberFormat="1" applyFont="1" applyBorder="1"/>
    <xf numFmtId="2" fontId="0" fillId="0" borderId="0" xfId="0" applyNumberFormat="1" applyFill="1" applyBorder="1"/>
    <xf numFmtId="0" fontId="2" fillId="0" borderId="0" xfId="0" applyFont="1" applyFill="1" applyBorder="1" applyAlignment="1">
      <alignment horizontal="right" wrapText="1"/>
    </xf>
    <xf numFmtId="0" fontId="2" fillId="0" borderId="0" xfId="0" applyFont="1" applyFill="1" applyBorder="1" applyAlignment="1">
      <alignment wrapText="1"/>
    </xf>
    <xf numFmtId="0" fontId="0" fillId="0" borderId="0" xfId="0" applyFill="1" applyBorder="1" applyAlignment="1">
      <alignment wrapText="1"/>
    </xf>
    <xf numFmtId="172" fontId="0" fillId="0" borderId="0" xfId="0" applyNumberFormat="1" applyFill="1" applyBorder="1"/>
    <xf numFmtId="168" fontId="0" fillId="0" borderId="0" xfId="0" applyNumberFormat="1" applyFill="1" applyBorder="1"/>
    <xf numFmtId="3" fontId="2" fillId="0" borderId="0" xfId="0" applyNumberFormat="1" applyFont="1" applyFill="1" applyBorder="1"/>
    <xf numFmtId="0" fontId="18" fillId="0" borderId="0" xfId="0" applyFont="1" applyFill="1" applyBorder="1"/>
    <xf numFmtId="0" fontId="25" fillId="0" borderId="0" xfId="0" applyFont="1" applyBorder="1" applyAlignment="1">
      <alignment vertical="top" wrapText="1" indent="3"/>
    </xf>
    <xf numFmtId="0" fontId="25" fillId="0" borderId="0" xfId="0" applyFont="1" applyBorder="1" applyAlignment="1">
      <alignment vertical="top" wrapText="1" indent="1"/>
    </xf>
    <xf numFmtId="3" fontId="25" fillId="0" borderId="0" xfId="0" applyNumberFormat="1" applyFont="1" applyBorder="1" applyAlignment="1">
      <alignment vertical="top" wrapText="1" indent="1"/>
    </xf>
    <xf numFmtId="0" fontId="2" fillId="0" borderId="11" xfId="0" applyFont="1" applyFill="1" applyBorder="1"/>
    <xf numFmtId="0" fontId="0" fillId="0" borderId="0" xfId="0" applyFont="1" applyFill="1" applyBorder="1" applyAlignment="1">
      <alignment horizontal="center"/>
    </xf>
    <xf numFmtId="0" fontId="2" fillId="0" borderId="0" xfId="0" applyFont="1" applyFill="1" applyBorder="1" applyAlignment="1">
      <alignment horizontal="center"/>
    </xf>
    <xf numFmtId="0" fontId="0" fillId="0" borderId="33" xfId="0" applyFill="1" applyBorder="1" applyAlignment="1">
      <alignment horizontal="center"/>
    </xf>
    <xf numFmtId="0" fontId="0" fillId="0" borderId="0" xfId="0" applyFont="1" applyFill="1" applyBorder="1" applyAlignment="1">
      <alignment horizontal="right"/>
    </xf>
    <xf numFmtId="0" fontId="0" fillId="0" borderId="33" xfId="0" applyFill="1" applyBorder="1" applyAlignment="1">
      <alignment horizontal="right"/>
    </xf>
    <xf numFmtId="0" fontId="2" fillId="28" borderId="11" xfId="0" applyFont="1" applyFill="1" applyBorder="1"/>
    <xf numFmtId="0" fontId="0" fillId="28" borderId="0" xfId="0" applyFont="1" applyFill="1" applyBorder="1" applyAlignment="1">
      <alignment horizontal="right"/>
    </xf>
    <xf numFmtId="0" fontId="0" fillId="28" borderId="0" xfId="0" applyFill="1" applyBorder="1" applyAlignment="1">
      <alignment horizontal="right"/>
    </xf>
    <xf numFmtId="0" fontId="2" fillId="28" borderId="0" xfId="0" applyFont="1" applyFill="1" applyBorder="1" applyAlignment="1">
      <alignment horizontal="right"/>
    </xf>
    <xf numFmtId="0" fontId="0" fillId="28" borderId="33" xfId="0" applyFill="1" applyBorder="1" applyAlignment="1">
      <alignment horizontal="right"/>
    </xf>
    <xf numFmtId="2" fontId="0" fillId="0" borderId="0" xfId="0" applyNumberFormat="1" applyFill="1" applyBorder="1" applyAlignment="1">
      <alignment horizontal="right"/>
    </xf>
    <xf numFmtId="1" fontId="0" fillId="0" borderId="0" xfId="0" applyNumberFormat="1" applyFill="1" applyBorder="1" applyAlignment="1">
      <alignment horizontal="right"/>
    </xf>
    <xf numFmtId="11" fontId="0" fillId="0" borderId="0" xfId="0" applyNumberFormat="1" applyFont="1" applyFill="1" applyBorder="1"/>
    <xf numFmtId="3" fontId="2" fillId="0" borderId="0" xfId="0" applyNumberFormat="1" applyFont="1" applyFill="1" applyBorder="1" applyAlignment="1">
      <alignment horizontal="right"/>
    </xf>
    <xf numFmtId="3" fontId="0" fillId="0" borderId="33" xfId="0" applyNumberFormat="1" applyFill="1" applyBorder="1"/>
    <xf numFmtId="0" fontId="0" fillId="0" borderId="11" xfId="0" applyFont="1" applyFill="1" applyBorder="1"/>
    <xf numFmtId="11" fontId="0" fillId="28" borderId="0" xfId="0" applyNumberFormat="1" applyFont="1" applyFill="1" applyBorder="1"/>
    <xf numFmtId="2" fontId="0" fillId="28" borderId="0" xfId="0" applyNumberFormat="1" applyFill="1" applyBorder="1"/>
    <xf numFmtId="3" fontId="2" fillId="28" borderId="0" xfId="0" applyNumberFormat="1" applyFont="1" applyFill="1" applyBorder="1" applyAlignment="1">
      <alignment horizontal="right"/>
    </xf>
    <xf numFmtId="3" fontId="0" fillId="28" borderId="33" xfId="0" applyNumberFormat="1" applyFill="1" applyBorder="1"/>
    <xf numFmtId="0" fontId="0" fillId="0" borderId="11" xfId="0" applyBorder="1" applyAlignment="1">
      <alignment wrapText="1"/>
    </xf>
    <xf numFmtId="11" fontId="0" fillId="0" borderId="0" xfId="0" applyNumberFormat="1" applyFont="1" applyBorder="1"/>
    <xf numFmtId="11" fontId="0" fillId="0" borderId="0" xfId="0" applyNumberFormat="1" applyFont="1" applyBorder="1" applyAlignment="1">
      <alignment wrapText="1"/>
    </xf>
    <xf numFmtId="0" fontId="2" fillId="28" borderId="13" xfId="0" applyFont="1" applyFill="1" applyBorder="1"/>
    <xf numFmtId="0" fontId="0" fillId="28" borderId="49" xfId="0" applyFill="1" applyBorder="1" applyAlignment="1">
      <alignment horizontal="right"/>
    </xf>
    <xf numFmtId="2" fontId="0" fillId="28" borderId="49" xfId="0" applyNumberFormat="1" applyFill="1" applyBorder="1"/>
    <xf numFmtId="3" fontId="2" fillId="28" borderId="49" xfId="0" applyNumberFormat="1" applyFont="1" applyFill="1" applyBorder="1" applyAlignment="1">
      <alignment horizontal="right"/>
    </xf>
    <xf numFmtId="3" fontId="0" fillId="28" borderId="49" xfId="0" applyNumberFormat="1" applyFill="1" applyBorder="1"/>
    <xf numFmtId="3" fontId="0" fillId="28" borderId="66" xfId="0" applyNumberFormat="1" applyFill="1" applyBorder="1"/>
    <xf numFmtId="167" fontId="0" fillId="0" borderId="0" xfId="0" applyNumberFormat="1" applyFill="1" applyBorder="1"/>
    <xf numFmtId="167" fontId="0" fillId="28" borderId="0" xfId="0" applyNumberFormat="1" applyFill="1" applyBorder="1"/>
    <xf numFmtId="0" fontId="0" fillId="0" borderId="13" xfId="0" applyFill="1" applyBorder="1"/>
    <xf numFmtId="0" fontId="0" fillId="0" borderId="49" xfId="0" applyFill="1" applyBorder="1" applyAlignment="1">
      <alignment horizontal="right"/>
    </xf>
    <xf numFmtId="167" fontId="0" fillId="0" borderId="49" xfId="0" applyNumberFormat="1" applyFill="1" applyBorder="1"/>
    <xf numFmtId="2" fontId="0" fillId="0" borderId="49" xfId="0" applyNumberFormat="1" applyFill="1" applyBorder="1"/>
    <xf numFmtId="3" fontId="2" fillId="0" borderId="49" xfId="0" applyNumberFormat="1" applyFont="1" applyFill="1" applyBorder="1" applyAlignment="1">
      <alignment horizontal="right"/>
    </xf>
    <xf numFmtId="3" fontId="0" fillId="0" borderId="66" xfId="0" applyNumberFormat="1" applyFill="1" applyBorder="1"/>
    <xf numFmtId="0" fontId="2" fillId="33" borderId="0" xfId="0" applyFont="1" applyFill="1" applyBorder="1" applyAlignment="1">
      <alignment horizontal="right"/>
    </xf>
    <xf numFmtId="3" fontId="2" fillId="33" borderId="0" xfId="0" applyNumberFormat="1" applyFont="1" applyFill="1" applyBorder="1" applyAlignment="1">
      <alignment horizontal="right"/>
    </xf>
    <xf numFmtId="3" fontId="2" fillId="33" borderId="0" xfId="0" applyNumberFormat="1" applyFont="1" applyFill="1" applyBorder="1"/>
    <xf numFmtId="0" fontId="2" fillId="0" borderId="9" xfId="0" applyFont="1" applyFill="1" applyBorder="1" applyAlignment="1">
      <alignment horizontal="center"/>
    </xf>
    <xf numFmtId="2" fontId="2" fillId="0" borderId="9" xfId="0" applyNumberFormat="1" applyFont="1" applyFill="1" applyBorder="1" applyAlignment="1">
      <alignment horizontal="center" wrapText="1"/>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0" fontId="18" fillId="31" borderId="102" xfId="0" applyFont="1" applyFill="1" applyBorder="1"/>
    <xf numFmtId="1" fontId="18" fillId="31" borderId="102" xfId="0" applyNumberFormat="1" applyFont="1" applyFill="1" applyBorder="1"/>
    <xf numFmtId="3" fontId="2" fillId="34" borderId="8" xfId="0" applyNumberFormat="1" applyFont="1" applyFill="1" applyBorder="1"/>
    <xf numFmtId="3" fontId="2" fillId="34" borderId="9" xfId="0" applyNumberFormat="1" applyFont="1" applyFill="1" applyBorder="1"/>
    <xf numFmtId="0" fontId="2" fillId="34" borderId="9" xfId="0" applyFont="1" applyFill="1" applyBorder="1"/>
    <xf numFmtId="3" fontId="2" fillId="34" borderId="10" xfId="0" applyNumberFormat="1" applyFont="1" applyFill="1" applyBorder="1"/>
    <xf numFmtId="0" fontId="2" fillId="34" borderId="13" xfId="0" applyFont="1" applyFill="1" applyBorder="1" applyAlignment="1">
      <alignment horizontal="right"/>
    </xf>
    <xf numFmtId="3" fontId="2" fillId="34" borderId="49" xfId="0" applyNumberFormat="1" applyFont="1" applyFill="1" applyBorder="1" applyAlignment="1">
      <alignment horizontal="right"/>
    </xf>
    <xf numFmtId="0" fontId="2" fillId="34" borderId="49" xfId="0" applyFont="1" applyFill="1" applyBorder="1"/>
    <xf numFmtId="3" fontId="2" fillId="34" borderId="66" xfId="0" applyNumberFormat="1" applyFont="1" applyFill="1" applyBorder="1"/>
    <xf numFmtId="0" fontId="0" fillId="31" borderId="102" xfId="0" applyFill="1" applyBorder="1" applyAlignment="1"/>
    <xf numFmtId="0" fontId="2" fillId="34" borderId="49" xfId="0" applyFont="1" applyFill="1" applyBorder="1" applyAlignment="1">
      <alignment horizontal="right"/>
    </xf>
    <xf numFmtId="0" fontId="0" fillId="34" borderId="49" xfId="0" applyFont="1" applyFill="1" applyBorder="1"/>
    <xf numFmtId="0" fontId="0" fillId="34" borderId="66" xfId="0" applyFill="1" applyBorder="1"/>
    <xf numFmtId="0" fontId="0" fillId="31" borderId="0" xfId="0" applyFill="1" applyBorder="1" applyAlignment="1">
      <alignment wrapText="1"/>
    </xf>
    <xf numFmtId="0" fontId="0" fillId="31" borderId="102" xfId="0" applyFill="1" applyBorder="1" applyAlignment="1">
      <alignment vertical="top"/>
    </xf>
    <xf numFmtId="0" fontId="0" fillId="31" borderId="0" xfId="0" applyFill="1" applyBorder="1" applyAlignment="1">
      <alignment vertical="top"/>
    </xf>
    <xf numFmtId="0" fontId="18" fillId="31" borderId="0" xfId="0" applyFont="1" applyFill="1" applyBorder="1" applyAlignment="1"/>
    <xf numFmtId="0" fontId="0" fillId="31" borderId="0" xfId="0" applyFill="1" applyBorder="1" applyAlignment="1"/>
    <xf numFmtId="0" fontId="18" fillId="31" borderId="102" xfId="0" applyFont="1" applyFill="1" applyBorder="1" applyAlignment="1"/>
    <xf numFmtId="0" fontId="7" fillId="33" borderId="0" xfId="0" applyFont="1" applyFill="1"/>
    <xf numFmtId="0" fontId="0" fillId="0" borderId="0" xfId="0" applyAlignment="1">
      <alignment horizontal="center"/>
    </xf>
    <xf numFmtId="0" fontId="0" fillId="0" borderId="0" xfId="0" applyFill="1" applyBorder="1" applyAlignment="1">
      <alignment horizontal="center"/>
    </xf>
    <xf numFmtId="1" fontId="0" fillId="0" borderId="0" xfId="0" applyNumberFormat="1" applyBorder="1"/>
    <xf numFmtId="0" fontId="2" fillId="0" borderId="0" xfId="0" applyFont="1" applyBorder="1" applyAlignment="1">
      <alignment horizontal="right" wrapText="1"/>
    </xf>
    <xf numFmtId="0" fontId="0" fillId="0" borderId="0" xfId="0" applyBorder="1" applyAlignment="1">
      <alignment wrapText="1"/>
    </xf>
    <xf numFmtId="172" fontId="0" fillId="0" borderId="0" xfId="0" applyNumberFormat="1" applyBorder="1"/>
    <xf numFmtId="0" fontId="18" fillId="0" borderId="0" xfId="0" applyFont="1" applyBorder="1"/>
    <xf numFmtId="168" fontId="0" fillId="0" borderId="0" xfId="0" applyNumberFormat="1" applyFill="1" applyBorder="1" applyAlignment="1">
      <alignment horizontal="right"/>
    </xf>
    <xf numFmtId="0" fontId="25" fillId="0" borderId="0" xfId="0" applyFont="1" applyFill="1" applyBorder="1" applyAlignment="1">
      <alignment vertical="top" wrapText="1" indent="1"/>
    </xf>
    <xf numFmtId="3" fontId="25" fillId="0" borderId="0" xfId="0" applyNumberFormat="1" applyFont="1" applyFill="1" applyBorder="1" applyAlignment="1">
      <alignment vertical="top" wrapText="1" indent="1"/>
    </xf>
    <xf numFmtId="1" fontId="2" fillId="0" borderId="0" xfId="0" applyNumberFormat="1" applyFont="1" applyFill="1" applyBorder="1"/>
    <xf numFmtId="0" fontId="2" fillId="0" borderId="34" xfId="0" applyFont="1" applyBorder="1" applyAlignment="1"/>
    <xf numFmtId="3" fontId="2" fillId="0" borderId="63" xfId="0" applyNumberFormat="1" applyFont="1" applyBorder="1"/>
    <xf numFmtId="0" fontId="2" fillId="0" borderId="61" xfId="0" applyFont="1" applyBorder="1" applyAlignment="1">
      <alignment horizontal="left" vertical="center"/>
    </xf>
    <xf numFmtId="3" fontId="2" fillId="0" borderId="62" xfId="0" applyNumberFormat="1" applyFont="1" applyBorder="1"/>
    <xf numFmtId="9" fontId="2" fillId="33" borderId="68" xfId="0" applyNumberFormat="1" applyFont="1" applyFill="1" applyBorder="1"/>
    <xf numFmtId="0" fontId="2" fillId="0" borderId="0" xfId="0" applyFont="1" applyAlignment="1">
      <alignment horizontal="left"/>
    </xf>
    <xf numFmtId="0" fontId="18" fillId="31" borderId="0" xfId="0" applyFont="1" applyFill="1" applyBorder="1" applyAlignment="1">
      <alignment vertical="top"/>
    </xf>
    <xf numFmtId="0" fontId="18" fillId="31" borderId="0" xfId="0" applyFont="1" applyFill="1" applyBorder="1" applyAlignment="1">
      <alignment horizontal="right"/>
    </xf>
    <xf numFmtId="0" fontId="0" fillId="31" borderId="0" xfId="0" applyFill="1" applyBorder="1" applyAlignment="1">
      <alignment horizontal="right" vertical="top"/>
    </xf>
    <xf numFmtId="0" fontId="0" fillId="31" borderId="0" xfId="0" applyFont="1" applyFill="1" applyBorder="1" applyAlignment="1">
      <alignment horizontal="right"/>
    </xf>
    <xf numFmtId="3" fontId="44" fillId="33" borderId="0" xfId="0" applyNumberFormat="1" applyFont="1" applyFill="1" applyBorder="1"/>
    <xf numFmtId="9" fontId="2" fillId="33" borderId="0" xfId="0" applyNumberFormat="1" applyFont="1" applyFill="1" applyBorder="1"/>
    <xf numFmtId="168" fontId="0" fillId="33" borderId="0" xfId="0" applyNumberFormat="1" applyFill="1"/>
    <xf numFmtId="0" fontId="2" fillId="0" borderId="84" xfId="0" applyFont="1" applyFill="1" applyBorder="1" applyAlignment="1">
      <alignment horizontal="right"/>
    </xf>
    <xf numFmtId="0" fontId="0" fillId="31" borderId="0" xfId="0" applyFill="1" applyBorder="1" applyAlignment="1">
      <alignment horizontal="right"/>
    </xf>
    <xf numFmtId="0" fontId="2" fillId="31" borderId="62" xfId="0" applyFont="1" applyFill="1" applyBorder="1" applyAlignment="1">
      <alignment horizontal="right"/>
    </xf>
    <xf numFmtId="0" fontId="2" fillId="31" borderId="28" xfId="0" applyFont="1" applyFill="1" applyBorder="1" applyAlignment="1">
      <alignment horizontal="right"/>
    </xf>
    <xf numFmtId="0" fontId="0" fillId="31" borderId="28" xfId="0" applyFill="1" applyBorder="1"/>
    <xf numFmtId="0" fontId="0" fillId="31" borderId="63" xfId="0" applyFill="1" applyBorder="1"/>
    <xf numFmtId="10" fontId="0" fillId="31" borderId="64" xfId="0" applyNumberFormat="1" applyFill="1" applyBorder="1"/>
    <xf numFmtId="173" fontId="0" fillId="31" borderId="0" xfId="0" applyNumberFormat="1" applyFill="1" applyBorder="1" applyAlignment="1">
      <alignment horizontal="right"/>
    </xf>
    <xf numFmtId="0" fontId="0" fillId="31" borderId="59" xfId="0" applyFill="1" applyBorder="1"/>
    <xf numFmtId="0" fontId="0" fillId="31" borderId="64" xfId="0" applyFill="1" applyBorder="1"/>
    <xf numFmtId="173" fontId="0" fillId="31" borderId="0" xfId="0" applyNumberFormat="1" applyFill="1" applyBorder="1"/>
    <xf numFmtId="176" fontId="0" fillId="31" borderId="0" xfId="0" applyNumberFormat="1" applyFill="1" applyBorder="1"/>
    <xf numFmtId="0" fontId="0" fillId="31" borderId="65" xfId="0" applyFill="1" applyBorder="1"/>
    <xf numFmtId="0" fontId="2" fillId="31" borderId="6" xfId="0" applyFont="1" applyFill="1" applyBorder="1"/>
    <xf numFmtId="0" fontId="0" fillId="31" borderId="53" xfId="0" applyFill="1" applyBorder="1"/>
    <xf numFmtId="176" fontId="0" fillId="31" borderId="6" xfId="0" applyNumberFormat="1" applyFill="1" applyBorder="1"/>
    <xf numFmtId="0" fontId="0" fillId="0" borderId="0" xfId="0" applyAlignment="1">
      <alignment horizontal="center"/>
    </xf>
    <xf numFmtId="0" fontId="0" fillId="0" borderId="0" xfId="0" applyBorder="1" applyAlignment="1"/>
    <xf numFmtId="0" fontId="0" fillId="0" borderId="0" xfId="0" applyFill="1" applyBorder="1" applyAlignment="1">
      <alignment horizontal="center"/>
    </xf>
    <xf numFmtId="0" fontId="0" fillId="0" borderId="0" xfId="0" applyBorder="1" applyAlignment="1">
      <alignment horizontal="center"/>
    </xf>
    <xf numFmtId="0" fontId="0" fillId="31" borderId="102" xfId="0" applyFill="1" applyBorder="1" applyAlignment="1">
      <alignment wrapText="1"/>
    </xf>
    <xf numFmtId="0" fontId="0" fillId="31" borderId="0" xfId="0" applyFill="1" applyBorder="1" applyAlignment="1">
      <alignment wrapText="1"/>
    </xf>
    <xf numFmtId="0" fontId="0" fillId="31" borderId="97" xfId="0" applyFill="1" applyBorder="1" applyAlignment="1">
      <alignment wrapText="1"/>
    </xf>
    <xf numFmtId="176" fontId="0" fillId="0" borderId="0" xfId="0" applyNumberFormat="1"/>
    <xf numFmtId="177" fontId="0" fillId="0" borderId="0" xfId="0" applyNumberFormat="1"/>
    <xf numFmtId="0" fontId="45" fillId="31" borderId="0" xfId="0" applyFont="1" applyFill="1" applyBorder="1" applyAlignment="1">
      <alignment horizontal="left" vertical="center"/>
    </xf>
    <xf numFmtId="173" fontId="46" fillId="31" borderId="0" xfId="0" applyNumberFormat="1" applyFont="1" applyFill="1"/>
    <xf numFmtId="9" fontId="46" fillId="31" borderId="0" xfId="0" applyNumberFormat="1" applyFont="1" applyFill="1"/>
    <xf numFmtId="10" fontId="46" fillId="31" borderId="0" xfId="0" applyNumberFormat="1" applyFont="1" applyFill="1"/>
    <xf numFmtId="0" fontId="2" fillId="0" borderId="78" xfId="0" applyFont="1" applyBorder="1"/>
    <xf numFmtId="0" fontId="2" fillId="0" borderId="77" xfId="0" applyFont="1" applyBorder="1"/>
    <xf numFmtId="0" fontId="2" fillId="0" borderId="0" xfId="0" applyFont="1" applyBorder="1" applyAlignment="1">
      <alignment horizontal="left"/>
    </xf>
    <xf numFmtId="0" fontId="2" fillId="0" borderId="0" xfId="0" applyFont="1" applyBorder="1" applyAlignment="1">
      <alignment horizontal="right"/>
    </xf>
    <xf numFmtId="168" fontId="0" fillId="33" borderId="0" xfId="0" applyNumberFormat="1" applyFill="1" applyBorder="1"/>
    <xf numFmtId="173" fontId="0" fillId="0" borderId="0" xfId="0" applyNumberFormat="1" applyBorder="1" applyAlignment="1">
      <alignment horizontal="right"/>
    </xf>
    <xf numFmtId="173" fontId="0" fillId="0" borderId="0" xfId="0" applyNumberFormat="1" applyBorder="1"/>
    <xf numFmtId="176" fontId="0" fillId="0" borderId="0" xfId="0" applyNumberFormat="1" applyBorder="1"/>
    <xf numFmtId="0" fontId="0" fillId="31" borderId="62" xfId="0" applyFill="1" applyBorder="1"/>
    <xf numFmtId="168" fontId="2" fillId="31" borderId="64" xfId="0" applyNumberFormat="1" applyFont="1" applyFill="1" applyBorder="1"/>
    <xf numFmtId="10" fontId="0" fillId="31" borderId="59" xfId="0" applyNumberFormat="1" applyFill="1" applyBorder="1"/>
    <xf numFmtId="10" fontId="2" fillId="31" borderId="64" xfId="0" applyNumberFormat="1" applyFont="1" applyFill="1" applyBorder="1"/>
    <xf numFmtId="10" fontId="2" fillId="31" borderId="65" xfId="0" applyNumberFormat="1" applyFont="1" applyFill="1" applyBorder="1"/>
    <xf numFmtId="0" fontId="0" fillId="0" borderId="0" xfId="0" quotePrefix="1" applyAlignment="1">
      <alignment horizontal="right"/>
    </xf>
    <xf numFmtId="0" fontId="2" fillId="31" borderId="101" xfId="0" applyFont="1" applyFill="1" applyBorder="1"/>
    <xf numFmtId="0" fontId="37" fillId="0" borderId="91" xfId="0" applyFont="1" applyBorder="1"/>
    <xf numFmtId="0" fontId="48" fillId="31" borderId="0" xfId="0" applyFont="1" applyFill="1" applyBorder="1" applyAlignment="1">
      <alignment horizontal="left" vertical="center"/>
    </xf>
    <xf numFmtId="173" fontId="49" fillId="31" borderId="0" xfId="0" applyNumberFormat="1" applyFont="1" applyFill="1"/>
    <xf numFmtId="2" fontId="49" fillId="31" borderId="0" xfId="0" applyNumberFormat="1" applyFont="1" applyFill="1"/>
    <xf numFmtId="168" fontId="49" fillId="31" borderId="0" xfId="0" applyNumberFormat="1" applyFont="1" applyFill="1"/>
    <xf numFmtId="10" fontId="49" fillId="31" borderId="0" xfId="0" applyNumberFormat="1" applyFont="1" applyFill="1"/>
    <xf numFmtId="0" fontId="49" fillId="31" borderId="0" xfId="0" applyFont="1" applyFill="1"/>
    <xf numFmtId="9" fontId="49" fillId="31" borderId="0" xfId="0" applyNumberFormat="1" applyFont="1" applyFill="1"/>
    <xf numFmtId="2" fontId="2" fillId="0" borderId="0" xfId="0" applyNumberFormat="1" applyFont="1"/>
    <xf numFmtId="0" fontId="50" fillId="0" borderId="0" xfId="0" applyFont="1"/>
    <xf numFmtId="0" fontId="2" fillId="33" borderId="13" xfId="0" applyFont="1" applyFill="1" applyBorder="1" applyAlignment="1">
      <alignment horizontal="right"/>
    </xf>
    <xf numFmtId="172" fontId="0" fillId="33" borderId="66" xfId="0" applyNumberFormat="1" applyFill="1" applyBorder="1"/>
    <xf numFmtId="0" fontId="0" fillId="34" borderId="10" xfId="0" applyFill="1" applyBorder="1" applyAlignment="1">
      <alignment horizontal="right"/>
    </xf>
    <xf numFmtId="3" fontId="0" fillId="34" borderId="49" xfId="0" applyNumberFormat="1" applyFill="1" applyBorder="1"/>
    <xf numFmtId="172" fontId="0" fillId="34" borderId="66" xfId="0" applyNumberFormat="1" applyFill="1" applyBorder="1"/>
    <xf numFmtId="0" fontId="2" fillId="34" borderId="0" xfId="0" applyFont="1" applyFill="1" applyBorder="1" applyAlignment="1">
      <alignment horizontal="right"/>
    </xf>
    <xf numFmtId="3" fontId="2" fillId="34" borderId="0" xfId="0" applyNumberFormat="1" applyFont="1" applyFill="1" applyBorder="1" applyAlignment="1">
      <alignment horizontal="right"/>
    </xf>
    <xf numFmtId="3" fontId="2" fillId="34" borderId="0" xfId="0" applyNumberFormat="1" applyFont="1" applyFill="1" applyBorder="1"/>
    <xf numFmtId="0" fontId="18" fillId="31" borderId="0" xfId="0" applyFont="1" applyFill="1" applyBorder="1" applyAlignment="1">
      <alignment horizontal="right" vertical="top"/>
    </xf>
    <xf numFmtId="0" fontId="2" fillId="31" borderId="63" xfId="0" applyFont="1" applyFill="1" applyBorder="1" applyAlignment="1">
      <alignment horizontal="right"/>
    </xf>
    <xf numFmtId="0" fontId="37" fillId="0" borderId="91" xfId="0" applyFont="1" applyFill="1" applyBorder="1"/>
    <xf numFmtId="3" fontId="7" fillId="33" borderId="0" xfId="0" applyNumberFormat="1" applyFont="1" applyFill="1" applyBorder="1"/>
    <xf numFmtId="0" fontId="7" fillId="33" borderId="0" xfId="0" applyFont="1" applyFill="1" applyBorder="1"/>
    <xf numFmtId="10" fontId="0" fillId="31" borderId="0" xfId="0" applyNumberFormat="1" applyFill="1" applyBorder="1"/>
    <xf numFmtId="2" fontId="0" fillId="31" borderId="64" xfId="0" applyNumberFormat="1" applyFill="1" applyBorder="1"/>
    <xf numFmtId="10" fontId="0" fillId="31" borderId="65" xfId="0" applyNumberFormat="1" applyFill="1" applyBorder="1"/>
    <xf numFmtId="0" fontId="0" fillId="31" borderId="6" xfId="0" applyFill="1" applyBorder="1"/>
    <xf numFmtId="2" fontId="0" fillId="31" borderId="6" xfId="0" applyNumberFormat="1" applyFill="1" applyBorder="1"/>
    <xf numFmtId="168" fontId="0" fillId="31" borderId="0" xfId="0" applyNumberFormat="1" applyFill="1" applyBorder="1"/>
    <xf numFmtId="2" fontId="0" fillId="31" borderId="0" xfId="0" applyNumberFormat="1" applyFill="1" applyBorder="1" applyAlignment="1">
      <alignment horizontal="right"/>
    </xf>
    <xf numFmtId="2" fontId="0" fillId="31" borderId="6" xfId="0" applyNumberFormat="1" applyFill="1" applyBorder="1" applyAlignment="1">
      <alignment horizontal="right"/>
    </xf>
    <xf numFmtId="0" fontId="0" fillId="31" borderId="64" xfId="0" applyFill="1" applyBorder="1" applyAlignment="1">
      <alignment horizontal="right"/>
    </xf>
    <xf numFmtId="1" fontId="0" fillId="0" borderId="0" xfId="0" quotePrefix="1" applyNumberFormat="1" applyBorder="1" applyAlignment="1">
      <alignment horizontal="right"/>
    </xf>
    <xf numFmtId="1" fontId="18" fillId="0" borderId="0" xfId="0" applyNumberFormat="1" applyFont="1" applyBorder="1" applyAlignment="1">
      <alignment horizontal="left"/>
    </xf>
    <xf numFmtId="16" fontId="0" fillId="0" borderId="0" xfId="0" quotePrefix="1" applyNumberFormat="1" applyBorder="1" applyAlignment="1">
      <alignment horizontal="right"/>
    </xf>
    <xf numFmtId="2" fontId="0" fillId="0" borderId="0" xfId="0" applyNumberFormat="1" applyBorder="1" applyAlignment="1">
      <alignment horizontal="right"/>
    </xf>
    <xf numFmtId="0" fontId="2" fillId="0" borderId="8" xfId="0" applyFont="1" applyFill="1" applyBorder="1" applyAlignment="1">
      <alignment horizontal="right"/>
    </xf>
    <xf numFmtId="3" fontId="0" fillId="0" borderId="11" xfId="0"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9" xfId="0" applyNumberFormat="1" applyFont="1" applyFill="1" applyBorder="1" applyAlignment="1">
      <alignment horizontal="right"/>
    </xf>
    <xf numFmtId="3" fontId="0" fillId="0" borderId="0" xfId="0" applyNumberFormat="1" applyFont="1" applyBorder="1" applyAlignment="1">
      <alignment horizontal="right"/>
    </xf>
    <xf numFmtId="3" fontId="0" fillId="0" borderId="13" xfId="0" applyNumberFormat="1" applyFont="1" applyFill="1" applyBorder="1" applyAlignment="1">
      <alignment horizontal="right"/>
    </xf>
    <xf numFmtId="3" fontId="0" fillId="0" borderId="49" xfId="0" applyNumberFormat="1" applyFont="1" applyFill="1" applyBorder="1" applyAlignment="1">
      <alignment horizontal="right"/>
    </xf>
    <xf numFmtId="3" fontId="0" fillId="0" borderId="49" xfId="0" applyNumberFormat="1" applyFont="1" applyBorder="1" applyAlignment="1">
      <alignment horizontal="right"/>
    </xf>
    <xf numFmtId="0" fontId="2" fillId="0" borderId="8" xfId="0" applyFont="1" applyFill="1" applyBorder="1" applyAlignment="1">
      <alignment horizontal="left"/>
    </xf>
    <xf numFmtId="0" fontId="2" fillId="0" borderId="78" xfId="0" applyFont="1" applyFill="1" applyBorder="1"/>
    <xf numFmtId="0" fontId="2" fillId="0" borderId="1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3" fontId="2" fillId="0" borderId="21" xfId="0" applyNumberFormat="1" applyFont="1" applyBorder="1"/>
    <xf numFmtId="3" fontId="2" fillId="0" borderId="22" xfId="0" applyNumberFormat="1" applyFont="1" applyBorder="1"/>
    <xf numFmtId="3" fontId="2" fillId="0" borderId="23" xfId="0" applyNumberFormat="1" applyFont="1" applyBorder="1"/>
    <xf numFmtId="0" fontId="0" fillId="0" borderId="8" xfId="0" applyFill="1" applyBorder="1"/>
    <xf numFmtId="0" fontId="2" fillId="0" borderId="17" xfId="0" applyFont="1" applyFill="1" applyBorder="1" applyAlignment="1">
      <alignment horizontal="left" wrapText="1"/>
    </xf>
    <xf numFmtId="0" fontId="2" fillId="0" borderId="18" xfId="0" applyFont="1" applyFill="1" applyBorder="1" applyAlignment="1">
      <alignment horizontal="left" wrapText="1"/>
    </xf>
    <xf numFmtId="3" fontId="2" fillId="0" borderId="21" xfId="0" applyNumberFormat="1" applyFont="1" applyFill="1" applyBorder="1" applyAlignment="1">
      <alignment horizontal="right"/>
    </xf>
    <xf numFmtId="3" fontId="2" fillId="0" borderId="22" xfId="0" applyNumberFormat="1" applyFont="1" applyFill="1" applyBorder="1" applyAlignment="1">
      <alignment horizontal="right"/>
    </xf>
    <xf numFmtId="3" fontId="2" fillId="0" borderId="23" xfId="0" applyNumberFormat="1" applyFont="1" applyFill="1" applyBorder="1" applyAlignment="1">
      <alignment horizontal="right"/>
    </xf>
    <xf numFmtId="0" fontId="0" fillId="37" borderId="13" xfId="0" applyFont="1" applyFill="1" applyBorder="1"/>
    <xf numFmtId="0" fontId="2" fillId="37" borderId="11" xfId="0" applyFont="1" applyFill="1" applyBorder="1" applyAlignment="1">
      <alignment horizontal="right"/>
    </xf>
    <xf numFmtId="3" fontId="0" fillId="37" borderId="13" xfId="0" applyNumberFormat="1" applyFont="1" applyFill="1" applyBorder="1" applyAlignment="1">
      <alignment horizontal="right"/>
    </xf>
    <xf numFmtId="0" fontId="2" fillId="37" borderId="16" xfId="0" applyFont="1" applyFill="1" applyBorder="1" applyAlignment="1">
      <alignment horizontal="left"/>
    </xf>
    <xf numFmtId="3" fontId="2" fillId="37" borderId="21" xfId="0" applyNumberFormat="1" applyFont="1" applyFill="1" applyBorder="1" applyAlignment="1">
      <alignment horizontal="right"/>
    </xf>
    <xf numFmtId="0" fontId="52" fillId="0" borderId="0" xfId="0" applyFont="1"/>
    <xf numFmtId="0" fontId="37" fillId="0" borderId="0" xfId="0" applyFont="1"/>
    <xf numFmtId="0" fontId="0" fillId="31" borderId="0" xfId="0" applyFill="1" applyAlignment="1">
      <alignment wrapText="1"/>
    </xf>
    <xf numFmtId="0" fontId="8" fillId="0" borderId="0" xfId="9" applyFont="1" applyFill="1" applyBorder="1" applyAlignment="1">
      <alignment horizontal="right"/>
    </xf>
    <xf numFmtId="0" fontId="8" fillId="0" borderId="0" xfId="0" applyFont="1" applyFill="1" applyBorder="1" applyAlignment="1">
      <alignment horizontal="right"/>
    </xf>
    <xf numFmtId="0" fontId="7" fillId="0" borderId="0" xfId="0" applyFont="1" applyFill="1" applyBorder="1"/>
    <xf numFmtId="2" fontId="7" fillId="0" borderId="0" xfId="0" applyNumberFormat="1" applyFont="1" applyFill="1" applyBorder="1" applyAlignment="1">
      <alignment horizontal="right"/>
    </xf>
    <xf numFmtId="1" fontId="7" fillId="0" borderId="0" xfId="0" applyNumberFormat="1" applyFont="1" applyFill="1"/>
    <xf numFmtId="0" fontId="7" fillId="0" borderId="0" xfId="0" applyFont="1" applyFill="1" applyBorder="1" applyAlignment="1">
      <alignment horizontal="right"/>
    </xf>
    <xf numFmtId="0" fontId="7" fillId="0" borderId="0" xfId="0" applyFont="1" applyFill="1"/>
    <xf numFmtId="10" fontId="7" fillId="0" borderId="0" xfId="0" applyNumberFormat="1" applyFont="1" applyFill="1" applyBorder="1" applyAlignment="1">
      <alignment horizontal="right"/>
    </xf>
    <xf numFmtId="10" fontId="7" fillId="0" borderId="0" xfId="0" applyNumberFormat="1" applyFont="1" applyFill="1" applyBorder="1"/>
    <xf numFmtId="0" fontId="8" fillId="0" borderId="0" xfId="9" applyFont="1" applyFill="1" applyBorder="1"/>
    <xf numFmtId="10" fontId="8" fillId="0" borderId="0" xfId="9" applyNumberFormat="1" applyFont="1" applyFill="1" applyBorder="1" applyAlignment="1">
      <alignment horizontal="right"/>
    </xf>
    <xf numFmtId="3" fontId="0" fillId="33" borderId="0" xfId="0" applyNumberFormat="1" applyFill="1" applyBorder="1" applyAlignment="1"/>
    <xf numFmtId="10" fontId="0" fillId="31" borderId="53" xfId="0" applyNumberFormat="1" applyFill="1" applyBorder="1"/>
    <xf numFmtId="0" fontId="0" fillId="0" borderId="64" xfId="0" applyFill="1" applyBorder="1"/>
    <xf numFmtId="0" fontId="0" fillId="31" borderId="62" xfId="0" applyFill="1" applyBorder="1" applyAlignment="1">
      <alignment horizontal="right"/>
    </xf>
    <xf numFmtId="0" fontId="2" fillId="31" borderId="64" xfId="0" applyFont="1" applyFill="1" applyBorder="1"/>
    <xf numFmtId="0" fontId="2" fillId="31" borderId="65" xfId="0" applyFont="1" applyFill="1" applyBorder="1"/>
    <xf numFmtId="1" fontId="0" fillId="0" borderId="68" xfId="0" applyNumberFormat="1" applyFill="1" applyBorder="1"/>
    <xf numFmtId="0" fontId="0" fillId="33" borderId="9" xfId="0" applyFill="1" applyBorder="1"/>
    <xf numFmtId="16" fontId="0" fillId="33" borderId="11" xfId="0" quotePrefix="1" applyNumberFormat="1" applyFill="1" applyBorder="1" applyAlignment="1">
      <alignment horizontal="right"/>
    </xf>
    <xf numFmtId="0" fontId="0" fillId="33" borderId="49" xfId="0" applyFill="1" applyBorder="1"/>
    <xf numFmtId="0" fontId="18" fillId="33" borderId="0" xfId="0" applyFont="1" applyFill="1" applyAlignment="1">
      <alignment horizontal="right"/>
    </xf>
    <xf numFmtId="3" fontId="18" fillId="33" borderId="0" xfId="0" applyNumberFormat="1" applyFont="1" applyFill="1"/>
    <xf numFmtId="0" fontId="0" fillId="13" borderId="0" xfId="0" applyFill="1" applyAlignment="1">
      <alignment horizontal="right"/>
    </xf>
    <xf numFmtId="3" fontId="0" fillId="13" borderId="33" xfId="0" applyNumberFormat="1" applyFill="1" applyBorder="1" applyProtection="1">
      <protection locked="0"/>
    </xf>
    <xf numFmtId="0" fontId="0" fillId="33" borderId="8" xfId="0" applyFill="1" applyBorder="1" applyAlignment="1">
      <alignment horizontal="right"/>
    </xf>
    <xf numFmtId="3" fontId="2" fillId="0" borderId="9" xfId="0" applyNumberFormat="1" applyFont="1" applyFill="1" applyBorder="1"/>
    <xf numFmtId="0" fontId="18" fillId="31" borderId="0" xfId="0" applyFont="1" applyFill="1" applyBorder="1" applyAlignment="1">
      <alignment vertical="center"/>
    </xf>
    <xf numFmtId="0" fontId="18" fillId="14" borderId="0" xfId="0" applyFont="1" applyFill="1"/>
    <xf numFmtId="0" fontId="0" fillId="14" borderId="0" xfId="0" applyFill="1"/>
    <xf numFmtId="0" fontId="0" fillId="14" borderId="0" xfId="0" applyFill="1" applyAlignment="1">
      <alignment horizontal="right"/>
    </xf>
    <xf numFmtId="1" fontId="0" fillId="14" borderId="0" xfId="0" applyNumberFormat="1" applyFill="1"/>
    <xf numFmtId="3" fontId="0" fillId="14" borderId="0" xfId="0" applyNumberFormat="1" applyFill="1"/>
    <xf numFmtId="1" fontId="18" fillId="14" borderId="0" xfId="0" applyNumberFormat="1" applyFont="1" applyFill="1"/>
    <xf numFmtId="0" fontId="18" fillId="14" borderId="0" xfId="0" applyFont="1" applyFill="1" applyBorder="1"/>
    <xf numFmtId="1" fontId="18" fillId="0" borderId="0" xfId="0" applyNumberFormat="1" applyFont="1" applyFill="1"/>
    <xf numFmtId="0" fontId="0" fillId="13" borderId="104" xfId="0" applyFill="1" applyBorder="1" applyProtection="1">
      <protection locked="0"/>
    </xf>
    <xf numFmtId="3" fontId="18" fillId="33" borderId="104" xfId="0" applyNumberFormat="1" applyFont="1" applyFill="1" applyBorder="1" applyProtection="1"/>
    <xf numFmtId="3" fontId="7" fillId="33" borderId="0" xfId="8" applyNumberFormat="1" applyFont="1" applyFill="1" applyBorder="1" applyProtection="1"/>
    <xf numFmtId="0" fontId="0" fillId="13" borderId="105" xfId="0" applyFill="1" applyBorder="1" applyProtection="1">
      <protection locked="0"/>
    </xf>
    <xf numFmtId="3" fontId="0" fillId="13" borderId="104" xfId="0" applyNumberFormat="1" applyFill="1" applyBorder="1" applyProtection="1">
      <protection locked="0"/>
    </xf>
    <xf numFmtId="0" fontId="37" fillId="0" borderId="91" xfId="0" applyFont="1" applyBorder="1" applyAlignment="1">
      <alignment vertical="center" wrapText="1"/>
    </xf>
    <xf numFmtId="0" fontId="46" fillId="29" borderId="0" xfId="0" applyFont="1" applyFill="1"/>
    <xf numFmtId="0" fontId="46" fillId="29" borderId="0" xfId="0" applyFont="1" applyFill="1" applyAlignment="1">
      <alignment horizontal="right"/>
    </xf>
    <xf numFmtId="10" fontId="46" fillId="29" borderId="0" xfId="0" applyNumberFormat="1" applyFont="1" applyFill="1" applyAlignment="1">
      <alignment horizontal="right"/>
    </xf>
    <xf numFmtId="0" fontId="45" fillId="31" borderId="0" xfId="0" applyFont="1" applyFill="1" applyBorder="1"/>
    <xf numFmtId="0" fontId="46" fillId="31" borderId="0" xfId="0" applyFont="1" applyFill="1" applyBorder="1"/>
    <xf numFmtId="10" fontId="46" fillId="31" borderId="0" xfId="0" applyNumberFormat="1" applyFont="1" applyFill="1" applyBorder="1" applyAlignment="1">
      <alignment horizontal="right"/>
    </xf>
    <xf numFmtId="0" fontId="45" fillId="29" borderId="0" xfId="0" applyFont="1" applyFill="1"/>
    <xf numFmtId="0" fontId="0" fillId="31" borderId="97" xfId="0" applyFill="1" applyBorder="1" applyAlignment="1"/>
    <xf numFmtId="0" fontId="2" fillId="0" borderId="79" xfId="0" applyFont="1" applyBorder="1"/>
    <xf numFmtId="0" fontId="2" fillId="0" borderId="16" xfId="0" applyFont="1" applyFill="1" applyBorder="1" applyAlignment="1">
      <alignment horizontal="left" wrapText="1"/>
    </xf>
    <xf numFmtId="3" fontId="0" fillId="0" borderId="77" xfId="0" applyNumberFormat="1" applyBorder="1"/>
    <xf numFmtId="3" fontId="2" fillId="33" borderId="8" xfId="0" applyNumberFormat="1" applyFont="1" applyFill="1" applyBorder="1"/>
    <xf numFmtId="3" fontId="2" fillId="33" borderId="10" xfId="0" applyNumberFormat="1" applyFont="1" applyFill="1" applyBorder="1"/>
    <xf numFmtId="0" fontId="2" fillId="33" borderId="49" xfId="0" applyFont="1" applyFill="1" applyBorder="1" applyAlignment="1">
      <alignment horizontal="right"/>
    </xf>
    <xf numFmtId="3" fontId="2" fillId="30" borderId="79" xfId="0" applyNumberFormat="1" applyFont="1" applyFill="1" applyBorder="1" applyAlignment="1">
      <alignment horizontal="right"/>
    </xf>
    <xf numFmtId="3" fontId="2" fillId="30" borderId="79" xfId="0" applyNumberFormat="1" applyFont="1" applyFill="1" applyBorder="1"/>
    <xf numFmtId="0" fontId="0" fillId="31" borderId="62" xfId="0" applyFill="1" applyBorder="1" applyAlignment="1">
      <alignment horizontal="center"/>
    </xf>
    <xf numFmtId="0" fontId="0" fillId="31" borderId="28" xfId="0" applyFill="1" applyBorder="1" applyAlignment="1">
      <alignment horizontal="center"/>
    </xf>
    <xf numFmtId="0" fontId="0" fillId="31" borderId="63" xfId="0" applyFill="1" applyBorder="1" applyAlignment="1">
      <alignment horizontal="center"/>
    </xf>
    <xf numFmtId="0" fontId="0" fillId="31" borderId="64" xfId="0" applyFill="1" applyBorder="1" applyAlignment="1">
      <alignment horizontal="center"/>
    </xf>
    <xf numFmtId="0" fontId="0" fillId="31" borderId="0" xfId="0" applyFill="1" applyBorder="1" applyAlignment="1">
      <alignment horizontal="center"/>
    </xf>
    <xf numFmtId="0" fontId="0" fillId="31" borderId="59" xfId="0" applyFill="1" applyBorder="1" applyAlignment="1">
      <alignment horizontal="center"/>
    </xf>
    <xf numFmtId="3" fontId="0" fillId="0" borderId="0" xfId="0" applyNumberFormat="1" applyBorder="1" applyAlignment="1">
      <alignment horizontal="right"/>
    </xf>
    <xf numFmtId="0" fontId="0" fillId="31" borderId="13" xfId="0" applyFill="1" applyBorder="1"/>
    <xf numFmtId="3" fontId="0" fillId="31" borderId="0" xfId="0" applyNumberFormat="1" applyFill="1" applyBorder="1" applyAlignment="1">
      <alignment horizontal="center"/>
    </xf>
    <xf numFmtId="1" fontId="0" fillId="31" borderId="59" xfId="0" applyNumberFormat="1" applyFill="1" applyBorder="1" applyAlignment="1">
      <alignment horizontal="center"/>
    </xf>
    <xf numFmtId="0" fontId="0" fillId="31" borderId="6" xfId="0" applyFill="1" applyBorder="1" applyAlignment="1">
      <alignment horizontal="right"/>
    </xf>
    <xf numFmtId="0" fontId="0" fillId="31" borderId="53" xfId="0" applyFill="1" applyBorder="1" applyAlignment="1">
      <alignment horizontal="right"/>
    </xf>
    <xf numFmtId="0" fontId="0" fillId="13" borderId="65" xfId="0" applyFill="1" applyBorder="1" applyAlignment="1" applyProtection="1">
      <alignment horizontal="right"/>
      <protection locked="0"/>
    </xf>
    <xf numFmtId="0" fontId="0" fillId="13" borderId="6" xfId="0" applyFill="1" applyBorder="1" applyAlignment="1" applyProtection="1">
      <alignment horizontal="right"/>
      <protection locked="0"/>
    </xf>
    <xf numFmtId="43" fontId="5" fillId="0" borderId="0" xfId="4" applyNumberFormat="1" applyFill="1" applyBorder="1"/>
    <xf numFmtId="0" fontId="5" fillId="10" borderId="5" xfId="4" applyBorder="1"/>
    <xf numFmtId="0" fontId="4" fillId="8" borderId="106" xfId="3" applyBorder="1"/>
    <xf numFmtId="0" fontId="4" fillId="8" borderId="107" xfId="3" applyBorder="1"/>
    <xf numFmtId="0" fontId="5" fillId="0" borderId="0" xfId="4" applyFill="1" applyBorder="1"/>
    <xf numFmtId="0" fontId="5" fillId="10" borderId="108" xfId="4" applyBorder="1"/>
    <xf numFmtId="0" fontId="45" fillId="29" borderId="0" xfId="0" applyFont="1" applyFill="1" applyBorder="1" applyAlignment="1">
      <alignment horizontal="left" vertical="center"/>
    </xf>
    <xf numFmtId="2" fontId="46" fillId="29" borderId="0" xfId="0" applyNumberFormat="1" applyFont="1" applyFill="1"/>
    <xf numFmtId="0" fontId="2" fillId="33" borderId="11" xfId="0" applyFont="1" applyFill="1" applyBorder="1" applyAlignment="1">
      <alignment horizontal="right"/>
    </xf>
    <xf numFmtId="0" fontId="18" fillId="33" borderId="33" xfId="0" applyFont="1" applyFill="1" applyBorder="1"/>
    <xf numFmtId="3" fontId="43" fillId="33" borderId="0" xfId="0" applyNumberFormat="1" applyFont="1" applyFill="1" applyBorder="1" applyAlignment="1">
      <alignment horizontal="right"/>
    </xf>
    <xf numFmtId="3" fontId="0" fillId="0" borderId="0" xfId="1" applyNumberFormat="1" applyFont="1" applyFill="1" applyBorder="1"/>
    <xf numFmtId="10" fontId="0" fillId="0" borderId="0" xfId="0" applyNumberFormat="1" applyFill="1" applyBorder="1"/>
    <xf numFmtId="3" fontId="0" fillId="33" borderId="0" xfId="1" applyNumberFormat="1" applyFont="1" applyFill="1" applyBorder="1"/>
    <xf numFmtId="0" fontId="18" fillId="33" borderId="0" xfId="0" applyFont="1" applyFill="1" applyBorder="1" applyAlignment="1">
      <alignment horizontal="right"/>
    </xf>
    <xf numFmtId="0" fontId="37" fillId="13" borderId="109" xfId="0" applyFont="1" applyFill="1" applyBorder="1"/>
    <xf numFmtId="0" fontId="15" fillId="0" borderId="0" xfId="6" applyFill="1" applyBorder="1"/>
    <xf numFmtId="3" fontId="0" fillId="0" borderId="0" xfId="0" applyNumberFormat="1" applyFill="1" applyBorder="1" applyProtection="1">
      <protection locked="0"/>
    </xf>
    <xf numFmtId="0" fontId="15" fillId="33" borderId="6" xfId="6" applyFont="1" applyFill="1" applyBorder="1" applyAlignment="1">
      <alignment horizontal="right"/>
    </xf>
    <xf numFmtId="3" fontId="2" fillId="33" borderId="6" xfId="0" applyNumberFormat="1" applyFont="1" applyFill="1" applyBorder="1"/>
    <xf numFmtId="3" fontId="7" fillId="33" borderId="0" xfId="2" applyNumberFormat="1" applyFont="1" applyFill="1" applyBorder="1"/>
    <xf numFmtId="3" fontId="7" fillId="33" borderId="0" xfId="1" applyNumberFormat="1" applyFont="1" applyFill="1" applyBorder="1"/>
    <xf numFmtId="0" fontId="0" fillId="0" borderId="113" xfId="0" applyBorder="1"/>
    <xf numFmtId="0" fontId="41" fillId="14" borderId="0" xfId="0" applyFont="1" applyFill="1" applyBorder="1" applyAlignment="1">
      <alignment horizontal="center"/>
    </xf>
    <xf numFmtId="0" fontId="2" fillId="27" borderId="0" xfId="0" applyFont="1" applyFill="1" applyAlignment="1">
      <alignment horizontal="center" vertical="center"/>
    </xf>
    <xf numFmtId="0" fontId="2" fillId="39" borderId="0" xfId="0" applyFont="1" applyFill="1" applyAlignment="1">
      <alignment horizontal="center" vertical="center"/>
    </xf>
    <xf numFmtId="0" fontId="2" fillId="35" borderId="0" xfId="0" applyFont="1" applyFill="1" applyAlignment="1">
      <alignment horizontal="center" vertical="center"/>
    </xf>
    <xf numFmtId="0" fontId="2" fillId="36" borderId="0" xfId="0" applyFont="1" applyFill="1" applyAlignment="1">
      <alignment horizontal="center" vertical="center"/>
    </xf>
    <xf numFmtId="0" fontId="2" fillId="38" borderId="0" xfId="0" applyFont="1" applyFill="1" applyAlignment="1">
      <alignment horizontal="center" vertical="center"/>
    </xf>
    <xf numFmtId="0" fontId="2" fillId="16" borderId="0" xfId="0" applyFont="1" applyFill="1" applyAlignment="1">
      <alignment horizontal="center" vertical="center"/>
    </xf>
    <xf numFmtId="0" fontId="0" fillId="0" borderId="0" xfId="0" applyAlignment="1">
      <alignment horizontal="left"/>
    </xf>
    <xf numFmtId="0" fontId="2" fillId="0" borderId="113" xfId="0" applyFont="1" applyBorder="1"/>
    <xf numFmtId="0" fontId="37" fillId="13" borderId="113" xfId="0" applyFont="1" applyFill="1" applyBorder="1" applyAlignment="1">
      <alignment horizontal="left" vertical="center"/>
    </xf>
    <xf numFmtId="0" fontId="37" fillId="33" borderId="113" xfId="0" applyFont="1" applyFill="1" applyBorder="1" applyAlignment="1">
      <alignment horizontal="left" vertical="center"/>
    </xf>
    <xf numFmtId="0" fontId="2" fillId="31" borderId="113" xfId="0" applyFont="1" applyFill="1" applyBorder="1"/>
    <xf numFmtId="0" fontId="0" fillId="31" borderId="46" xfId="0" applyFill="1" applyBorder="1"/>
    <xf numFmtId="0" fontId="0" fillId="31" borderId="25" xfId="0" applyFill="1" applyBorder="1"/>
    <xf numFmtId="0" fontId="0" fillId="31" borderId="115" xfId="0" applyFill="1" applyBorder="1"/>
    <xf numFmtId="0" fontId="0" fillId="31" borderId="114" xfId="0" applyFill="1" applyBorder="1"/>
    <xf numFmtId="0" fontId="53" fillId="0" borderId="0" xfId="0" applyFont="1"/>
    <xf numFmtId="0" fontId="0" fillId="31" borderId="110" xfId="0" applyFill="1" applyBorder="1"/>
    <xf numFmtId="0" fontId="0" fillId="31" borderId="111" xfId="0" applyFill="1" applyBorder="1"/>
    <xf numFmtId="0" fontId="0" fillId="31" borderId="113" xfId="0" applyFill="1" applyBorder="1"/>
    <xf numFmtId="0" fontId="0" fillId="31" borderId="112" xfId="0" applyFill="1" applyBorder="1"/>
    <xf numFmtId="0" fontId="2" fillId="0" borderId="0" xfId="0" applyFont="1" applyAlignment="1">
      <alignment vertical="center"/>
    </xf>
    <xf numFmtId="0" fontId="37" fillId="13" borderId="0" xfId="0" applyFont="1" applyFill="1" applyAlignment="1">
      <alignment vertical="center"/>
    </xf>
    <xf numFmtId="0" fontId="2" fillId="13" borderId="0" xfId="0" applyFont="1" applyFill="1" applyBorder="1"/>
    <xf numFmtId="0" fontId="37" fillId="33" borderId="0" xfId="0" applyFont="1" applyFill="1" applyAlignment="1">
      <alignment vertical="center"/>
    </xf>
    <xf numFmtId="0" fontId="2" fillId="33" borderId="0" xfId="0" applyFont="1" applyFill="1" applyBorder="1"/>
    <xf numFmtId="0" fontId="37" fillId="0" borderId="91" xfId="0" applyFont="1" applyFill="1" applyBorder="1" applyAlignment="1">
      <alignment vertical="center"/>
    </xf>
    <xf numFmtId="0" fontId="2" fillId="0" borderId="67" xfId="0" applyFont="1" applyFill="1" applyBorder="1"/>
    <xf numFmtId="0" fontId="0" fillId="0" borderId="68" xfId="0" applyFill="1" applyBorder="1"/>
    <xf numFmtId="0" fontId="37" fillId="0" borderId="0" xfId="0" applyFont="1" applyFill="1" applyBorder="1" applyAlignment="1">
      <alignment vertical="center"/>
    </xf>
    <xf numFmtId="0" fontId="0" fillId="0" borderId="116" xfId="0" applyBorder="1"/>
    <xf numFmtId="0" fontId="2" fillId="0" borderId="111" xfId="0" applyFont="1" applyBorder="1" applyAlignment="1">
      <alignment horizontal="right"/>
    </xf>
    <xf numFmtId="0" fontId="2" fillId="0" borderId="111" xfId="0" applyFont="1" applyBorder="1" applyAlignment="1">
      <alignment horizontal="center" wrapText="1"/>
    </xf>
    <xf numFmtId="0" fontId="2" fillId="0" borderId="111" xfId="0" applyFont="1" applyBorder="1" applyAlignment="1">
      <alignment horizontal="right" wrapText="1"/>
    </xf>
    <xf numFmtId="0" fontId="2" fillId="0" borderId="111" xfId="0" applyFont="1" applyFill="1" applyBorder="1" applyAlignment="1">
      <alignment horizontal="right" wrapText="1"/>
    </xf>
    <xf numFmtId="0" fontId="2" fillId="0" borderId="112" xfId="0" applyFont="1" applyBorder="1" applyAlignment="1">
      <alignment horizontal="right"/>
    </xf>
    <xf numFmtId="168" fontId="18" fillId="31" borderId="118" xfId="0" applyNumberFormat="1" applyFont="1" applyFill="1" applyBorder="1" applyAlignment="1">
      <alignment horizontal="right" wrapText="1"/>
    </xf>
    <xf numFmtId="0" fontId="18" fillId="0" borderId="84" xfId="0" applyFont="1" applyBorder="1" applyAlignment="1">
      <alignment horizontal="center" vertical="center"/>
    </xf>
    <xf numFmtId="0" fontId="18" fillId="0" borderId="67" xfId="0" applyFont="1" applyBorder="1" applyAlignment="1">
      <alignment horizontal="center" vertical="center" wrapText="1"/>
    </xf>
    <xf numFmtId="0" fontId="18" fillId="0" borderId="67" xfId="0" applyFont="1" applyFill="1" applyBorder="1" applyAlignment="1">
      <alignment horizontal="right" vertical="center"/>
    </xf>
    <xf numFmtId="0" fontId="18" fillId="0" borderId="67" xfId="0" applyFont="1" applyBorder="1" applyAlignment="1">
      <alignment horizontal="right" vertical="center"/>
    </xf>
    <xf numFmtId="0" fontId="18" fillId="0" borderId="68" xfId="0" applyFont="1" applyBorder="1" applyAlignment="1">
      <alignment horizontal="right" vertical="center" wrapText="1"/>
    </xf>
    <xf numFmtId="0" fontId="0" fillId="31" borderId="46" xfId="0" applyFill="1" applyBorder="1" applyAlignment="1">
      <alignment horizontal="right"/>
    </xf>
    <xf numFmtId="3" fontId="0" fillId="13" borderId="0" xfId="0" applyNumberFormat="1" applyFont="1" applyFill="1" applyBorder="1" applyProtection="1">
      <protection locked="0"/>
    </xf>
    <xf numFmtId="3" fontId="0" fillId="0" borderId="0" xfId="0" applyNumberFormat="1" applyBorder="1" applyProtection="1">
      <protection locked="0"/>
    </xf>
    <xf numFmtId="2" fontId="0" fillId="13" borderId="0" xfId="0" applyNumberFormat="1" applyFill="1" applyBorder="1" applyAlignment="1" applyProtection="1">
      <alignment horizontal="right"/>
      <protection locked="0"/>
    </xf>
    <xf numFmtId="9" fontId="0" fillId="13" borderId="0" xfId="0" applyNumberFormat="1" applyFill="1" applyBorder="1" applyAlignment="1" applyProtection="1">
      <alignment horizontal="right"/>
      <protection locked="0"/>
    </xf>
    <xf numFmtId="3" fontId="0" fillId="33" borderId="0" xfId="0" applyNumberFormat="1" applyFill="1" applyBorder="1" applyAlignment="1">
      <alignment horizontal="right"/>
    </xf>
    <xf numFmtId="10" fontId="0" fillId="33" borderId="0" xfId="0" applyNumberFormat="1" applyFill="1" applyBorder="1" applyAlignment="1">
      <alignment horizontal="right"/>
    </xf>
    <xf numFmtId="172" fontId="0" fillId="0" borderId="0" xfId="0" applyNumberFormat="1" applyFill="1" applyBorder="1" applyAlignment="1">
      <alignment horizontal="right"/>
    </xf>
    <xf numFmtId="172" fontId="0" fillId="13" borderId="0" xfId="0" applyNumberFormat="1" applyFill="1" applyBorder="1" applyAlignment="1" applyProtection="1">
      <alignment horizontal="right"/>
      <protection locked="0"/>
    </xf>
    <xf numFmtId="2" fontId="0" fillId="0" borderId="46" xfId="0" applyNumberFormat="1" applyFont="1" applyBorder="1" applyAlignment="1">
      <alignment horizontal="right"/>
    </xf>
    <xf numFmtId="0" fontId="18" fillId="31" borderId="119" xfId="0" applyFont="1" applyFill="1" applyBorder="1" applyAlignment="1">
      <alignment horizontal="right"/>
    </xf>
    <xf numFmtId="0" fontId="59" fillId="0" borderId="113" xfId="0" applyFont="1" applyFill="1" applyBorder="1" applyAlignment="1">
      <alignment horizontal="right"/>
    </xf>
    <xf numFmtId="3" fontId="60" fillId="13" borderId="0" xfId="0" applyNumberFormat="1" applyFont="1" applyFill="1" applyBorder="1" applyProtection="1">
      <protection locked="0"/>
    </xf>
    <xf numFmtId="3" fontId="60" fillId="0" borderId="0" xfId="0" applyNumberFormat="1" applyFont="1" applyFill="1" applyBorder="1" applyProtection="1">
      <protection locked="0"/>
    </xf>
    <xf numFmtId="2" fontId="60" fillId="13" borderId="0" xfId="0" applyNumberFormat="1" applyFont="1" applyFill="1" applyBorder="1" applyAlignment="1" applyProtection="1">
      <alignment horizontal="right"/>
      <protection locked="0"/>
    </xf>
    <xf numFmtId="9" fontId="60" fillId="13" borderId="0" xfId="0" applyNumberFormat="1" applyFont="1" applyFill="1" applyBorder="1" applyAlignment="1" applyProtection="1">
      <alignment horizontal="right"/>
      <protection locked="0"/>
    </xf>
    <xf numFmtId="3" fontId="60" fillId="33" borderId="0" xfId="0" applyNumberFormat="1" applyFont="1" applyFill="1" applyBorder="1" applyAlignment="1">
      <alignment horizontal="right"/>
    </xf>
    <xf numFmtId="10" fontId="60" fillId="33" borderId="0" xfId="0" applyNumberFormat="1" applyFont="1" applyFill="1" applyBorder="1" applyAlignment="1">
      <alignment horizontal="right"/>
    </xf>
    <xf numFmtId="172" fontId="60" fillId="0" borderId="0" xfId="0" applyNumberFormat="1" applyFont="1" applyFill="1" applyBorder="1" applyAlignment="1">
      <alignment horizontal="right"/>
    </xf>
    <xf numFmtId="172" fontId="60" fillId="13" borderId="0" xfId="0" applyNumberFormat="1" applyFont="1" applyFill="1" applyBorder="1" applyAlignment="1" applyProtection="1">
      <alignment horizontal="right"/>
      <protection locked="0"/>
    </xf>
    <xf numFmtId="172" fontId="60" fillId="0" borderId="0" xfId="0" applyNumberFormat="1" applyFont="1" applyFill="1" applyBorder="1" applyAlignment="1">
      <alignment horizontal="left"/>
    </xf>
    <xf numFmtId="168" fontId="60" fillId="0" borderId="0" xfId="0" applyNumberFormat="1" applyFont="1" applyFill="1" applyBorder="1" applyAlignment="1">
      <alignment horizontal="right"/>
    </xf>
    <xf numFmtId="3" fontId="7" fillId="33" borderId="0" xfId="0" applyNumberFormat="1" applyFont="1" applyFill="1" applyBorder="1" applyAlignment="1">
      <alignment horizontal="right"/>
    </xf>
    <xf numFmtId="2" fontId="0" fillId="33" borderId="46" xfId="0" applyNumberFormat="1" applyFont="1" applyFill="1" applyBorder="1" applyAlignment="1">
      <alignment horizontal="right"/>
    </xf>
    <xf numFmtId="3" fontId="60" fillId="13" borderId="0" xfId="0" applyNumberFormat="1" applyFont="1" applyFill="1" applyBorder="1" applyAlignment="1" applyProtection="1">
      <alignment horizontal="right"/>
      <protection locked="0"/>
    </xf>
    <xf numFmtId="172" fontId="0" fillId="0" borderId="0" xfId="0" applyNumberFormat="1" applyBorder="1" applyAlignment="1">
      <alignment horizontal="right"/>
    </xf>
    <xf numFmtId="172" fontId="0" fillId="0" borderId="0" xfId="0" applyNumberFormat="1" applyBorder="1" applyAlignment="1">
      <alignment horizontal="left"/>
    </xf>
    <xf numFmtId="168" fontId="0" fillId="0" borderId="0" xfId="0" applyNumberFormat="1" applyBorder="1" applyAlignment="1">
      <alignment horizontal="right"/>
    </xf>
    <xf numFmtId="172" fontId="0" fillId="0" borderId="0" xfId="0" applyNumberFormat="1" applyFill="1" applyBorder="1" applyAlignment="1">
      <alignment horizontal="left"/>
    </xf>
    <xf numFmtId="3" fontId="7" fillId="13" borderId="0" xfId="0" applyNumberFormat="1" applyFont="1" applyFill="1" applyBorder="1" applyProtection="1">
      <protection locked="0"/>
    </xf>
    <xf numFmtId="3" fontId="18" fillId="31" borderId="0" xfId="0" applyNumberFormat="1" applyFont="1" applyFill="1" applyBorder="1"/>
    <xf numFmtId="10" fontId="0" fillId="13" borderId="0" xfId="0" applyNumberFormat="1" applyFill="1" applyBorder="1" applyAlignment="1" applyProtection="1">
      <alignment horizontal="right"/>
      <protection locked="0"/>
    </xf>
    <xf numFmtId="0" fontId="0" fillId="31" borderId="102" xfId="0" applyFill="1" applyBorder="1" applyAlignment="1">
      <alignment vertical="center"/>
    </xf>
    <xf numFmtId="0" fontId="2" fillId="0" borderId="114" xfId="0" applyFont="1" applyBorder="1"/>
    <xf numFmtId="3" fontId="0" fillId="13" borderId="25" xfId="0" applyNumberFormat="1" applyFont="1" applyFill="1" applyBorder="1" applyProtection="1">
      <protection locked="0"/>
    </xf>
    <xf numFmtId="3" fontId="0" fillId="0" borderId="25" xfId="0" applyNumberFormat="1" applyBorder="1" applyProtection="1">
      <protection locked="0"/>
    </xf>
    <xf numFmtId="2" fontId="0" fillId="13" borderId="25" xfId="0" applyNumberFormat="1" applyFill="1" applyBorder="1" applyAlignment="1" applyProtection="1">
      <alignment horizontal="right"/>
      <protection locked="0"/>
    </xf>
    <xf numFmtId="9" fontId="0" fillId="13" borderId="25" xfId="0" applyNumberFormat="1" applyFill="1" applyBorder="1" applyAlignment="1" applyProtection="1">
      <alignment horizontal="right"/>
      <protection locked="0"/>
    </xf>
    <xf numFmtId="3" fontId="0" fillId="33" borderId="25" xfId="0" applyNumberFormat="1" applyFill="1" applyBorder="1" applyAlignment="1">
      <alignment horizontal="right"/>
    </xf>
    <xf numFmtId="10" fontId="0" fillId="33" borderId="25" xfId="0" applyNumberFormat="1" applyFill="1" applyBorder="1" applyAlignment="1">
      <alignment horizontal="right"/>
    </xf>
    <xf numFmtId="172" fontId="0" fillId="0" borderId="25" xfId="0" applyNumberFormat="1" applyFill="1" applyBorder="1" applyAlignment="1">
      <alignment horizontal="right"/>
    </xf>
    <xf numFmtId="172" fontId="0" fillId="13" borderId="25" xfId="0" applyNumberFormat="1" applyFill="1" applyBorder="1" applyAlignment="1" applyProtection="1">
      <alignment horizontal="right"/>
      <protection locked="0"/>
    </xf>
    <xf numFmtId="172" fontId="0" fillId="0" borderId="25" xfId="0" applyNumberFormat="1" applyFill="1" applyBorder="1" applyAlignment="1">
      <alignment horizontal="left"/>
    </xf>
    <xf numFmtId="168" fontId="0" fillId="0" borderId="25" xfId="0" applyNumberFormat="1" applyFill="1" applyBorder="1" applyAlignment="1">
      <alignment horizontal="right"/>
    </xf>
    <xf numFmtId="2" fontId="0" fillId="33" borderId="115" xfId="0" applyNumberFormat="1" applyFont="1" applyFill="1" applyBorder="1" applyAlignment="1">
      <alignment horizontal="right"/>
    </xf>
    <xf numFmtId="0" fontId="18" fillId="31" borderId="120" xfId="0" applyFont="1" applyFill="1" applyBorder="1" applyAlignment="1">
      <alignment horizontal="right"/>
    </xf>
    <xf numFmtId="0" fontId="18" fillId="0" borderId="0" xfId="0" applyFont="1" applyAlignment="1">
      <alignment horizontal="left"/>
    </xf>
    <xf numFmtId="3" fontId="0" fillId="33" borderId="2" xfId="0" applyNumberFormat="1" applyFill="1" applyBorder="1"/>
    <xf numFmtId="0" fontId="0" fillId="33" borderId="121" xfId="0" applyFill="1" applyBorder="1"/>
    <xf numFmtId="0" fontId="2" fillId="33" borderId="121" xfId="0" applyFont="1" applyFill="1" applyBorder="1"/>
    <xf numFmtId="0" fontId="2" fillId="33" borderId="121" xfId="0" applyFont="1" applyFill="1" applyBorder="1" applyAlignment="1">
      <alignment horizontal="right"/>
    </xf>
    <xf numFmtId="3" fontId="2" fillId="33" borderId="27" xfId="0" applyNumberFormat="1" applyFont="1" applyFill="1" applyBorder="1"/>
    <xf numFmtId="3" fontId="2" fillId="33" borderId="2" xfId="0" applyNumberFormat="1" applyFont="1" applyFill="1" applyBorder="1"/>
    <xf numFmtId="0" fontId="2" fillId="33" borderId="27" xfId="0" applyFont="1" applyFill="1" applyBorder="1" applyAlignment="1">
      <alignment horizontal="right"/>
    </xf>
    <xf numFmtId="0" fontId="2" fillId="33" borderId="121" xfId="0" applyFont="1" applyFill="1" applyBorder="1" applyAlignment="1">
      <alignment horizontal="left"/>
    </xf>
    <xf numFmtId="168" fontId="0" fillId="33" borderId="27" xfId="0" applyNumberFormat="1" applyFill="1" applyBorder="1"/>
    <xf numFmtId="0" fontId="2" fillId="0" borderId="0" xfId="0" applyFont="1" applyFill="1" applyBorder="1" applyAlignment="1">
      <alignment horizontal="left"/>
    </xf>
    <xf numFmtId="0" fontId="2" fillId="31" borderId="98" xfId="0" applyFont="1" applyFill="1" applyBorder="1"/>
    <xf numFmtId="0" fontId="18" fillId="31" borderId="62" xfId="0" applyFont="1" applyFill="1" applyBorder="1"/>
    <xf numFmtId="10" fontId="0" fillId="31" borderId="28" xfId="0" applyNumberFormat="1" applyFill="1" applyBorder="1" applyAlignment="1">
      <alignment horizontal="center"/>
    </xf>
    <xf numFmtId="1" fontId="0" fillId="31" borderId="63" xfId="0" applyNumberFormat="1" applyFill="1" applyBorder="1"/>
    <xf numFmtId="0" fontId="18" fillId="0" borderId="0" xfId="0" applyFont="1" applyFill="1" applyAlignment="1">
      <alignment horizontal="right"/>
    </xf>
    <xf numFmtId="3" fontId="22" fillId="0" borderId="0" xfId="7" applyNumberFormat="1" applyFill="1"/>
    <xf numFmtId="0" fontId="22" fillId="0" borderId="0" xfId="7" applyFill="1"/>
    <xf numFmtId="0" fontId="22" fillId="0" borderId="0" xfId="7" applyFill="1" applyBorder="1" applyAlignment="1">
      <alignment horizontal="right"/>
    </xf>
    <xf numFmtId="0" fontId="18" fillId="31" borderId="64" xfId="0" applyFont="1" applyFill="1" applyBorder="1"/>
    <xf numFmtId="10" fontId="0" fillId="31" borderId="0" xfId="0" applyNumberFormat="1" applyFill="1" applyBorder="1" applyAlignment="1">
      <alignment horizontal="center"/>
    </xf>
    <xf numFmtId="3" fontId="2" fillId="33" borderId="121" xfId="0" applyNumberFormat="1" applyFont="1" applyFill="1" applyBorder="1"/>
    <xf numFmtId="0" fontId="2" fillId="33" borderId="121" xfId="0" applyFont="1" applyFill="1" applyBorder="1" applyAlignment="1">
      <alignment horizontal="center"/>
    </xf>
    <xf numFmtId="10" fontId="0" fillId="31" borderId="6" xfId="0" applyNumberFormat="1" applyFill="1" applyBorder="1" applyAlignment="1">
      <alignment horizontal="center"/>
    </xf>
    <xf numFmtId="10" fontId="2" fillId="0" borderId="0" xfId="0" applyNumberFormat="1" applyFont="1" applyAlignment="1">
      <alignment horizontal="center"/>
    </xf>
    <xf numFmtId="2" fontId="37" fillId="33" borderId="91" xfId="0" applyNumberFormat="1" applyFont="1" applyFill="1" applyBorder="1"/>
    <xf numFmtId="3" fontId="8" fillId="0" borderId="0" xfId="0" applyNumberFormat="1" applyFont="1" applyAlignment="1">
      <alignment horizontal="right" wrapText="1"/>
    </xf>
    <xf numFmtId="3" fontId="8" fillId="0" borderId="0" xfId="0" applyNumberFormat="1" applyFont="1" applyAlignment="1">
      <alignment horizontal="right"/>
    </xf>
    <xf numFmtId="3" fontId="19" fillId="0" borderId="0" xfId="0" applyNumberFormat="1" applyFont="1"/>
    <xf numFmtId="3" fontId="18" fillId="0" borderId="0" xfId="0" applyNumberFormat="1" applyFont="1" applyAlignment="1">
      <alignment horizontal="right"/>
    </xf>
    <xf numFmtId="3" fontId="0" fillId="0" borderId="64" xfId="0" applyNumberFormat="1" applyBorder="1"/>
    <xf numFmtId="3" fontId="8" fillId="33" borderId="121" xfId="0" applyNumberFormat="1" applyFont="1" applyFill="1" applyBorder="1" applyAlignment="1">
      <alignment horizontal="right" wrapText="1"/>
    </xf>
    <xf numFmtId="0" fontId="2" fillId="33" borderId="0" xfId="0" applyFont="1" applyFill="1" applyAlignment="1">
      <alignment horizontal="right"/>
    </xf>
    <xf numFmtId="3" fontId="0" fillId="33" borderId="28" xfId="0" applyNumberFormat="1" applyFill="1" applyBorder="1"/>
    <xf numFmtId="2" fontId="0" fillId="33" borderId="6" xfId="0" applyNumberFormat="1" applyFill="1" applyBorder="1"/>
    <xf numFmtId="3" fontId="2" fillId="33" borderId="0" xfId="0" applyNumberFormat="1" applyFont="1" applyFill="1"/>
    <xf numFmtId="3" fontId="55" fillId="33" borderId="0" xfId="0" applyNumberFormat="1" applyFont="1" applyFill="1"/>
    <xf numFmtId="0" fontId="55" fillId="33" borderId="0" xfId="0" applyFont="1" applyFill="1"/>
    <xf numFmtId="2" fontId="0" fillId="33" borderId="0" xfId="0" applyNumberFormat="1" applyFill="1"/>
    <xf numFmtId="0" fontId="43" fillId="33" borderId="0" xfId="0" applyFont="1" applyFill="1" applyAlignment="1">
      <alignment horizontal="right"/>
    </xf>
    <xf numFmtId="3" fontId="0" fillId="0" borderId="6" xfId="0" applyNumberFormat="1" applyBorder="1"/>
    <xf numFmtId="0" fontId="3" fillId="0" borderId="0" xfId="2" applyFill="1" applyBorder="1"/>
    <xf numFmtId="1" fontId="0" fillId="0" borderId="0" xfId="0" applyNumberFormat="1" applyFont="1" applyFill="1" applyBorder="1" applyAlignment="1">
      <alignment horizontal="right"/>
    </xf>
    <xf numFmtId="0" fontId="43" fillId="0" borderId="0" xfId="0" applyFont="1"/>
    <xf numFmtId="3" fontId="0" fillId="0" borderId="64" xfId="0" applyNumberFormat="1" applyFill="1" applyBorder="1"/>
    <xf numFmtId="3" fontId="0" fillId="31" borderId="64" xfId="0" applyNumberFormat="1" applyFill="1" applyBorder="1"/>
    <xf numFmtId="3" fontId="0" fillId="31" borderId="0" xfId="0" applyNumberFormat="1" applyFill="1" applyBorder="1"/>
    <xf numFmtId="3" fontId="0" fillId="31" borderId="59" xfId="0" applyNumberFormat="1" applyFill="1" applyBorder="1"/>
    <xf numFmtId="0" fontId="2" fillId="0" borderId="9" xfId="0" applyFont="1" applyBorder="1" applyAlignment="1">
      <alignment horizontal="right"/>
    </xf>
    <xf numFmtId="0" fontId="2" fillId="0" borderId="10" xfId="0" applyFont="1" applyBorder="1" applyAlignment="1">
      <alignment horizontal="right"/>
    </xf>
    <xf numFmtId="3" fontId="2" fillId="0" borderId="8" xfId="0" applyNumberFormat="1" applyFont="1" applyFill="1" applyBorder="1" applyAlignment="1">
      <alignment horizontal="right"/>
    </xf>
    <xf numFmtId="3" fontId="2" fillId="0" borderId="9" xfId="0" applyNumberFormat="1" applyFont="1" applyBorder="1" applyAlignment="1">
      <alignment horizontal="right"/>
    </xf>
    <xf numFmtId="3" fontId="2" fillId="0" borderId="10" xfId="0" applyNumberFormat="1" applyFont="1" applyBorder="1" applyAlignment="1">
      <alignment horizontal="right"/>
    </xf>
    <xf numFmtId="178" fontId="0" fillId="31" borderId="59" xfId="0" applyNumberFormat="1" applyFill="1" applyBorder="1"/>
    <xf numFmtId="0" fontId="18" fillId="31" borderId="97" xfId="0" applyFont="1" applyFill="1" applyBorder="1"/>
    <xf numFmtId="0" fontId="37" fillId="0" borderId="0" xfId="0" applyFont="1" applyBorder="1" applyAlignment="1">
      <alignment vertical="center"/>
    </xf>
    <xf numFmtId="3" fontId="2" fillId="13" borderId="0" xfId="0" applyNumberFormat="1" applyFont="1" applyFill="1" applyProtection="1">
      <protection locked="0"/>
    </xf>
    <xf numFmtId="4" fontId="0" fillId="0" borderId="0" xfId="0" applyNumberFormat="1"/>
    <xf numFmtId="2" fontId="0" fillId="33" borderId="10" xfId="0" applyNumberFormat="1" applyFill="1" applyBorder="1"/>
    <xf numFmtId="0" fontId="2" fillId="33" borderId="11" xfId="0" applyFont="1" applyFill="1" applyBorder="1"/>
    <xf numFmtId="4" fontId="2" fillId="33" borderId="0" xfId="0" applyNumberFormat="1" applyFont="1" applyFill="1" applyBorder="1"/>
    <xf numFmtId="2" fontId="0" fillId="33" borderId="33" xfId="0" applyNumberFormat="1" applyFill="1" applyBorder="1"/>
    <xf numFmtId="4" fontId="0" fillId="33" borderId="0" xfId="0" applyNumberFormat="1" applyFill="1" applyBorder="1"/>
    <xf numFmtId="4" fontId="0" fillId="33" borderId="49" xfId="0" applyNumberFormat="1" applyFill="1" applyBorder="1"/>
    <xf numFmtId="2" fontId="0" fillId="33" borderId="66" xfId="0" applyNumberFormat="1" applyFill="1" applyBorder="1"/>
    <xf numFmtId="3" fontId="2" fillId="31" borderId="9" xfId="0" applyNumberFormat="1" applyFont="1" applyFill="1" applyBorder="1"/>
    <xf numFmtId="3" fontId="2" fillId="31" borderId="10" xfId="0" applyNumberFormat="1" applyFont="1" applyFill="1" applyBorder="1"/>
    <xf numFmtId="3" fontId="2" fillId="31" borderId="49" xfId="0" applyNumberFormat="1" applyFont="1" applyFill="1" applyBorder="1" applyAlignment="1">
      <alignment horizontal="right"/>
    </xf>
    <xf numFmtId="3" fontId="2" fillId="31" borderId="66" xfId="0" applyNumberFormat="1" applyFont="1" applyFill="1" applyBorder="1" applyAlignment="1">
      <alignment horizontal="right"/>
    </xf>
    <xf numFmtId="3" fontId="2" fillId="31" borderId="8" xfId="0" applyNumberFormat="1" applyFont="1" applyFill="1" applyBorder="1" applyAlignment="1">
      <alignment horizontal="right"/>
    </xf>
    <xf numFmtId="3" fontId="0" fillId="31" borderId="49" xfId="0" applyNumberFormat="1" applyFill="1" applyBorder="1"/>
    <xf numFmtId="3" fontId="0" fillId="31" borderId="51" xfId="0" applyNumberFormat="1" applyFill="1" applyBorder="1"/>
    <xf numFmtId="3" fontId="0" fillId="31" borderId="93" xfId="0" applyNumberFormat="1" applyFill="1" applyBorder="1"/>
    <xf numFmtId="3" fontId="2" fillId="31" borderId="9" xfId="0" applyNumberFormat="1" applyFont="1" applyFill="1" applyBorder="1" applyAlignment="1">
      <alignment horizontal="right"/>
    </xf>
    <xf numFmtId="4" fontId="0" fillId="33" borderId="9" xfId="0" applyNumberFormat="1" applyFill="1" applyBorder="1"/>
    <xf numFmtId="0" fontId="18" fillId="33" borderId="11" xfId="0" applyFont="1" applyFill="1" applyBorder="1"/>
    <xf numFmtId="2" fontId="37" fillId="0" borderId="91" xfId="0" applyNumberFormat="1" applyFont="1" applyBorder="1" applyAlignment="1">
      <alignment vertical="center"/>
    </xf>
    <xf numFmtId="0" fontId="18" fillId="0" borderId="64" xfId="0" applyFont="1" applyFill="1" applyBorder="1"/>
    <xf numFmtId="3" fontId="18" fillId="0" borderId="64" xfId="0" applyNumberFormat="1" applyFont="1" applyFill="1" applyBorder="1"/>
    <xf numFmtId="3" fontId="18" fillId="0" borderId="93" xfId="0" applyNumberFormat="1" applyFont="1" applyFill="1" applyBorder="1"/>
    <xf numFmtId="0" fontId="18" fillId="33" borderId="0" xfId="0" applyFont="1" applyFill="1" applyBorder="1"/>
    <xf numFmtId="0" fontId="18" fillId="0" borderId="0" xfId="0" applyFont="1" applyAlignment="1">
      <alignment wrapText="1"/>
    </xf>
    <xf numFmtId="9" fontId="18" fillId="0" borderId="0" xfId="0" applyNumberFormat="1" applyFont="1" applyAlignment="1">
      <alignment horizontal="center"/>
    </xf>
    <xf numFmtId="0" fontId="43" fillId="13" borderId="0" xfId="0" applyFont="1" applyFill="1" applyAlignment="1" applyProtection="1">
      <alignment horizontal="center"/>
      <protection locked="0"/>
    </xf>
    <xf numFmtId="3" fontId="0" fillId="13" borderId="0" xfId="1" applyNumberFormat="1" applyFont="1" applyFill="1" applyBorder="1" applyProtection="1">
      <protection locked="0"/>
    </xf>
    <xf numFmtId="0" fontId="18" fillId="31" borderId="0" xfId="0" applyFont="1" applyFill="1" applyBorder="1" applyAlignment="1">
      <alignment wrapText="1"/>
    </xf>
    <xf numFmtId="0" fontId="0" fillId="31" borderId="98" xfId="0" applyFill="1" applyBorder="1" applyAlignment="1"/>
    <xf numFmtId="0" fontId="18" fillId="31" borderId="95" xfId="0" applyFont="1" applyFill="1" applyBorder="1" applyAlignment="1">
      <alignment horizontal="right"/>
    </xf>
    <xf numFmtId="0" fontId="18" fillId="31" borderId="95" xfId="0" applyFont="1" applyFill="1" applyBorder="1" applyAlignment="1"/>
    <xf numFmtId="0" fontId="0" fillId="31" borderId="95" xfId="0" applyFill="1" applyBorder="1" applyAlignment="1"/>
    <xf numFmtId="0" fontId="0" fillId="31" borderId="99" xfId="0" applyFill="1" applyBorder="1" applyAlignment="1"/>
    <xf numFmtId="3" fontId="7" fillId="33" borderId="104" xfId="0" applyNumberFormat="1" applyFont="1" applyFill="1" applyBorder="1" applyProtection="1">
      <protection locked="0"/>
    </xf>
    <xf numFmtId="3" fontId="0" fillId="33" borderId="0" xfId="0" applyNumberFormat="1" applyFill="1" applyBorder="1" applyProtection="1">
      <protection locked="0"/>
    </xf>
    <xf numFmtId="0" fontId="31" fillId="31" borderId="102" xfId="10" applyFill="1" applyBorder="1" applyAlignment="1">
      <alignment vertical="center"/>
    </xf>
    <xf numFmtId="0" fontId="0" fillId="31" borderId="110" xfId="0" applyFont="1" applyFill="1" applyBorder="1" applyAlignment="1">
      <alignment wrapText="1"/>
    </xf>
    <xf numFmtId="0" fontId="0" fillId="31" borderId="111" xfId="0" applyFont="1" applyFill="1" applyBorder="1" applyAlignment="1">
      <alignment wrapText="1"/>
    </xf>
    <xf numFmtId="0" fontId="0" fillId="31" borderId="112" xfId="0" applyFont="1" applyFill="1" applyBorder="1" applyAlignment="1">
      <alignment wrapText="1"/>
    </xf>
    <xf numFmtId="0" fontId="43" fillId="0" borderId="13" xfId="0" quotePrefix="1" applyFont="1" applyFill="1" applyBorder="1" applyAlignment="1">
      <alignment horizontal="center"/>
    </xf>
    <xf numFmtId="0" fontId="18" fillId="0" borderId="49" xfId="0" applyFont="1" applyBorder="1" applyAlignment="1">
      <alignment horizontal="center"/>
    </xf>
    <xf numFmtId="0" fontId="18" fillId="0" borderId="66" xfId="0" applyFont="1" applyBorder="1" applyAlignment="1">
      <alignment horizontal="center"/>
    </xf>
    <xf numFmtId="3" fontId="43" fillId="0" borderId="13" xfId="0" quotePrefix="1" applyNumberFormat="1" applyFont="1" applyFill="1" applyBorder="1" applyAlignment="1">
      <alignment horizontal="center"/>
    </xf>
    <xf numFmtId="3" fontId="18" fillId="0" borderId="49" xfId="0" applyNumberFormat="1" applyFont="1" applyBorder="1" applyAlignment="1">
      <alignment horizontal="center"/>
    </xf>
    <xf numFmtId="3" fontId="18" fillId="0" borderId="66" xfId="0" applyNumberFormat="1" applyFont="1" applyBorder="1" applyAlignment="1">
      <alignment horizontal="center"/>
    </xf>
    <xf numFmtId="3" fontId="43" fillId="0" borderId="93" xfId="0" quotePrefix="1" applyNumberFormat="1" applyFont="1" applyFill="1" applyBorder="1" applyAlignment="1">
      <alignment horizontal="center"/>
    </xf>
    <xf numFmtId="3" fontId="18" fillId="0" borderId="51" xfId="0" applyNumberFormat="1" applyFont="1" applyBorder="1" applyAlignment="1">
      <alignment horizontal="center"/>
    </xf>
    <xf numFmtId="0" fontId="2" fillId="0" borderId="117" xfId="0" applyFont="1" applyBorder="1" applyAlignment="1">
      <alignment horizontal="center" wrapText="1"/>
    </xf>
    <xf numFmtId="0" fontId="0" fillId="0" borderId="117" xfId="0" applyBorder="1" applyAlignment="1">
      <alignment horizontal="center" wrapText="1"/>
    </xf>
    <xf numFmtId="0" fontId="18" fillId="31" borderId="0" xfId="0" applyFont="1" applyFill="1" applyBorder="1" applyAlignment="1">
      <alignment vertical="center" wrapText="1"/>
    </xf>
    <xf numFmtId="0" fontId="18" fillId="31" borderId="0" xfId="0" applyFont="1" applyFill="1" applyBorder="1" applyAlignment="1">
      <alignment wrapText="1"/>
    </xf>
    <xf numFmtId="3" fontId="18" fillId="31" borderId="0" xfId="0" applyNumberFormat="1" applyFont="1" applyFill="1" applyBorder="1" applyAlignment="1">
      <alignment wrapText="1"/>
    </xf>
    <xf numFmtId="0" fontId="2" fillId="33" borderId="0" xfId="0" applyFont="1" applyFill="1" applyAlignment="1">
      <alignment horizontal="center" vertical="center"/>
    </xf>
    <xf numFmtId="0" fontId="0" fillId="31" borderId="102" xfId="0" applyFill="1" applyBorder="1" applyAlignment="1">
      <alignment wrapText="1"/>
    </xf>
    <xf numFmtId="0" fontId="0" fillId="0" borderId="0" xfId="0" applyBorder="1" applyAlignment="1">
      <alignment wrapText="1"/>
    </xf>
    <xf numFmtId="0" fontId="0" fillId="0" borderId="97" xfId="0" applyBorder="1" applyAlignment="1">
      <alignment wrapText="1"/>
    </xf>
    <xf numFmtId="0" fontId="0" fillId="0" borderId="102" xfId="0" applyBorder="1" applyAlignment="1">
      <alignment wrapText="1"/>
    </xf>
    <xf numFmtId="0" fontId="0" fillId="0" borderId="98" xfId="0" applyBorder="1" applyAlignment="1">
      <alignment wrapText="1"/>
    </xf>
    <xf numFmtId="0" fontId="0" fillId="0" borderId="95" xfId="0" applyBorder="1" applyAlignment="1">
      <alignment wrapText="1"/>
    </xf>
    <xf numFmtId="0" fontId="0" fillId="0" borderId="99" xfId="0" applyBorder="1" applyAlignment="1">
      <alignment wrapText="1"/>
    </xf>
    <xf numFmtId="0" fontId="8" fillId="24" borderId="0" xfId="19" applyFont="1" applyFill="1" applyAlignment="1">
      <alignment horizontal="center"/>
    </xf>
    <xf numFmtId="0" fontId="0" fillId="0" borderId="0" xfId="0" applyAlignment="1">
      <alignment horizontal="center"/>
    </xf>
    <xf numFmtId="0" fontId="2" fillId="29" borderId="9" xfId="0" applyFont="1" applyFill="1" applyBorder="1" applyAlignment="1">
      <alignment horizontal="right" wrapText="1"/>
    </xf>
    <xf numFmtId="0" fontId="0" fillId="0" borderId="0" xfId="0" applyBorder="1" applyAlignment="1"/>
    <xf numFmtId="0" fontId="2" fillId="29" borderId="10" xfId="0" applyFont="1" applyFill="1" applyBorder="1" applyAlignment="1">
      <alignment horizontal="right" wrapText="1"/>
    </xf>
    <xf numFmtId="0" fontId="0" fillId="0" borderId="33" xfId="0" applyBorder="1" applyAlignment="1"/>
    <xf numFmtId="0" fontId="2" fillId="0" borderId="13" xfId="0" applyFont="1" applyFill="1" applyBorder="1" applyAlignment="1">
      <alignment horizontal="center"/>
    </xf>
    <xf numFmtId="0" fontId="0" fillId="0" borderId="49" xfId="0" applyBorder="1" applyAlignment="1">
      <alignment horizontal="center"/>
    </xf>
    <xf numFmtId="0" fontId="0" fillId="0" borderId="66" xfId="0" applyBorder="1" applyAlignment="1">
      <alignment horizontal="center"/>
    </xf>
    <xf numFmtId="0" fontId="0" fillId="0" borderId="0" xfId="0" applyFill="1" applyBorder="1" applyAlignment="1">
      <alignment horizontal="center"/>
    </xf>
    <xf numFmtId="0" fontId="0" fillId="31" borderId="102" xfId="0" applyFill="1" applyBorder="1" applyAlignment="1">
      <alignment vertical="top" wrapText="1"/>
    </xf>
    <xf numFmtId="0" fontId="0" fillId="0" borderId="0" xfId="0" applyBorder="1" applyAlignment="1">
      <alignment vertical="top" wrapText="1"/>
    </xf>
    <xf numFmtId="0" fontId="0" fillId="0" borderId="97" xfId="0" applyBorder="1" applyAlignment="1">
      <alignment vertical="top" wrapText="1"/>
    </xf>
    <xf numFmtId="0" fontId="0" fillId="0" borderId="102" xfId="0" applyBorder="1" applyAlignment="1">
      <alignment vertical="top" wrapText="1"/>
    </xf>
    <xf numFmtId="0" fontId="18" fillId="0" borderId="0" xfId="0" quotePrefix="1" applyNumberFormat="1" applyFont="1" applyAlignment="1">
      <alignment horizontal="center"/>
    </xf>
    <xf numFmtId="0" fontId="18" fillId="0" borderId="0" xfId="0" applyNumberFormat="1" applyFont="1" applyAlignment="1">
      <alignment horizontal="center"/>
    </xf>
    <xf numFmtId="0" fontId="18" fillId="0" borderId="0" xfId="0" applyFont="1" applyAlignment="1"/>
    <xf numFmtId="0" fontId="2" fillId="29" borderId="8" xfId="0" applyFont="1" applyFill="1" applyBorder="1" applyAlignment="1">
      <alignment horizontal="right" wrapText="1"/>
    </xf>
    <xf numFmtId="0" fontId="0" fillId="0" borderId="11" xfId="0" applyBorder="1" applyAlignment="1"/>
    <xf numFmtId="0" fontId="2" fillId="0" borderId="67" xfId="0" applyFont="1" applyFill="1" applyBorder="1" applyAlignment="1">
      <alignment horizontal="center"/>
    </xf>
    <xf numFmtId="0" fontId="0" fillId="0" borderId="67" xfId="0" applyBorder="1" applyAlignment="1">
      <alignment horizontal="center"/>
    </xf>
    <xf numFmtId="2" fontId="0" fillId="31" borderId="102" xfId="0" applyNumberFormat="1" applyFill="1" applyBorder="1" applyAlignment="1">
      <alignment wrapText="1"/>
    </xf>
    <xf numFmtId="0" fontId="0" fillId="0" borderId="0" xfId="0" applyAlignment="1">
      <alignment wrapText="1"/>
    </xf>
    <xf numFmtId="0" fontId="0" fillId="0" borderId="0" xfId="0" applyAlignment="1">
      <alignment vertical="top" wrapText="1"/>
    </xf>
    <xf numFmtId="0" fontId="18" fillId="0" borderId="0" xfId="0" quotePrefix="1" applyNumberFormat="1" applyFont="1" applyBorder="1" applyAlignment="1">
      <alignment horizontal="center"/>
    </xf>
    <xf numFmtId="0" fontId="18" fillId="31" borderId="0" xfId="0" applyFont="1" applyFill="1" applyBorder="1" applyAlignment="1">
      <alignment vertical="top" wrapText="1"/>
    </xf>
    <xf numFmtId="0" fontId="0" fillId="31" borderId="0" xfId="0" applyFill="1" applyBorder="1" applyAlignment="1">
      <alignment wrapText="1"/>
    </xf>
    <xf numFmtId="0" fontId="0" fillId="31" borderId="97" xfId="0" applyFill="1" applyBorder="1" applyAlignment="1">
      <alignment wrapText="1"/>
    </xf>
    <xf numFmtId="0" fontId="2" fillId="0" borderId="0" xfId="0" applyFont="1" applyAlignment="1">
      <alignment wrapText="1"/>
    </xf>
    <xf numFmtId="0" fontId="2" fillId="0" borderId="84" xfId="0" applyFont="1" applyFill="1" applyBorder="1" applyAlignment="1">
      <alignment horizontal="center"/>
    </xf>
    <xf numFmtId="0" fontId="0" fillId="0" borderId="67" xfId="0" applyBorder="1" applyAlignment="1"/>
    <xf numFmtId="0" fontId="0" fillId="0" borderId="68" xfId="0" applyBorder="1" applyAlignment="1"/>
    <xf numFmtId="0" fontId="51" fillId="31" borderId="0" xfId="0" applyFont="1" applyFill="1" applyBorder="1" applyAlignment="1">
      <alignment horizontal="left" vertical="top" wrapText="1"/>
    </xf>
    <xf numFmtId="0" fontId="0" fillId="31" borderId="0" xfId="0" applyFill="1" applyBorder="1" applyAlignment="1">
      <alignment vertical="top" wrapText="1"/>
    </xf>
    <xf numFmtId="0" fontId="0" fillId="31" borderId="97" xfId="0" applyFill="1" applyBorder="1" applyAlignment="1">
      <alignment vertical="top" wrapText="1"/>
    </xf>
    <xf numFmtId="0" fontId="18" fillId="14" borderId="0" xfId="0" applyFont="1" applyFill="1" applyBorder="1" applyAlignment="1">
      <alignment vertical="center" wrapText="1" shrinkToFit="1"/>
    </xf>
    <xf numFmtId="0" fontId="18" fillId="14" borderId="97" xfId="0" applyFont="1" applyFill="1" applyBorder="1" applyAlignment="1">
      <alignment vertical="center" wrapText="1"/>
    </xf>
    <xf numFmtId="0" fontId="18" fillId="14" borderId="0" xfId="0" applyFont="1" applyFill="1" applyAlignment="1">
      <alignment vertical="center" wrapText="1"/>
    </xf>
    <xf numFmtId="0" fontId="12" fillId="0" borderId="0" xfId="0" applyFont="1" applyAlignment="1">
      <alignment horizontal="left"/>
    </xf>
    <xf numFmtId="0" fontId="12" fillId="0" borderId="0" xfId="0" applyFont="1" applyBorder="1" applyAlignment="1">
      <alignment horizontal="left"/>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170" fontId="0" fillId="0" borderId="7" xfId="0" applyNumberFormat="1" applyBorder="1" applyAlignment="1">
      <alignment horizontal="center" vertical="center"/>
    </xf>
    <xf numFmtId="170" fontId="0" fillId="0" borderId="29" xfId="0" applyNumberFormat="1" applyBorder="1" applyAlignment="1">
      <alignment horizontal="center" vertical="center"/>
    </xf>
    <xf numFmtId="0" fontId="0" fillId="22" borderId="28" xfId="0" applyFill="1" applyBorder="1" applyAlignment="1">
      <alignment horizontal="center" vertical="center" wrapText="1"/>
    </xf>
    <xf numFmtId="0" fontId="0" fillId="22" borderId="0" xfId="0" applyFill="1" applyBorder="1" applyAlignment="1">
      <alignment horizontal="center" vertical="center" wrapText="1"/>
    </xf>
    <xf numFmtId="0" fontId="0" fillId="22" borderId="6" xfId="0" applyFill="1" applyBorder="1" applyAlignment="1">
      <alignment horizontal="center" vertical="center" wrapText="1"/>
    </xf>
    <xf numFmtId="0" fontId="0" fillId="22" borderId="89" xfId="0" applyFill="1" applyBorder="1" applyAlignment="1">
      <alignment horizontal="center" vertical="center"/>
    </xf>
    <xf numFmtId="0" fontId="0" fillId="22" borderId="33" xfId="0" applyFill="1" applyBorder="1" applyAlignment="1">
      <alignment horizontal="center" vertical="center"/>
    </xf>
    <xf numFmtId="0" fontId="0" fillId="22" borderId="90" xfId="0" applyFill="1" applyBorder="1" applyAlignment="1">
      <alignment horizontal="center" vertical="center"/>
    </xf>
    <xf numFmtId="0" fontId="0" fillId="22" borderId="80" xfId="0" applyFill="1" applyBorder="1" applyAlignment="1">
      <alignment horizontal="center" vertical="center" wrapText="1"/>
    </xf>
    <xf numFmtId="0" fontId="0" fillId="22" borderId="82" xfId="0" applyFill="1" applyBorder="1" applyAlignment="1">
      <alignment horizontal="center" vertical="center" wrapText="1"/>
    </xf>
    <xf numFmtId="0" fontId="0" fillId="22" borderId="32" xfId="0" applyFill="1" applyBorder="1" applyAlignment="1">
      <alignment horizontal="center" vertical="center" wrapText="1"/>
    </xf>
    <xf numFmtId="0" fontId="0" fillId="23" borderId="7" xfId="0" applyFill="1" applyBorder="1" applyAlignment="1">
      <alignment horizontal="center" vertical="center"/>
    </xf>
    <xf numFmtId="0" fontId="0" fillId="23" borderId="29" xfId="0" applyFill="1" applyBorder="1" applyAlignment="1">
      <alignment horizontal="center" vertical="center"/>
    </xf>
    <xf numFmtId="170" fontId="0" fillId="23" borderId="7" xfId="0" applyNumberFormat="1" applyFill="1" applyBorder="1" applyAlignment="1">
      <alignment horizontal="center" vertical="center"/>
    </xf>
    <xf numFmtId="170" fontId="0" fillId="23" borderId="29" xfId="0" applyNumberFormat="1" applyFill="1" applyBorder="1" applyAlignment="1">
      <alignment horizontal="center" vertical="center"/>
    </xf>
    <xf numFmtId="0" fontId="0" fillId="23" borderId="24" xfId="0" applyFill="1" applyBorder="1" applyAlignment="1">
      <alignment horizontal="center" vertical="center"/>
    </xf>
    <xf numFmtId="0" fontId="0" fillId="23" borderId="31" xfId="0" applyFill="1" applyBorder="1" applyAlignment="1">
      <alignment horizontal="center" vertical="center"/>
    </xf>
    <xf numFmtId="0" fontId="0" fillId="23" borderId="81" xfId="0" applyFill="1" applyBorder="1" applyAlignment="1">
      <alignment horizontal="center" vertical="center"/>
    </xf>
    <xf numFmtId="170" fontId="0" fillId="23" borderId="81" xfId="0" applyNumberFormat="1" applyFill="1" applyBorder="1" applyAlignment="1">
      <alignment horizontal="center" vertical="center"/>
    </xf>
    <xf numFmtId="0" fontId="0" fillId="23" borderId="71" xfId="0" applyFill="1" applyBorder="1" applyAlignment="1">
      <alignment horizontal="center" vertical="center"/>
    </xf>
    <xf numFmtId="170" fontId="0" fillId="23" borderId="71" xfId="0" applyNumberFormat="1" applyFill="1" applyBorder="1" applyAlignment="1">
      <alignment horizontal="center" vertical="center"/>
    </xf>
    <xf numFmtId="0" fontId="0" fillId="23" borderId="30" xfId="0" applyFill="1" applyBorder="1" applyAlignment="1">
      <alignment horizontal="center" vertical="center"/>
    </xf>
    <xf numFmtId="0" fontId="2" fillId="13" borderId="19" xfId="0" applyFont="1" applyFill="1" applyBorder="1" applyAlignment="1">
      <alignment horizontal="center"/>
    </xf>
    <xf numFmtId="0" fontId="2" fillId="13" borderId="1" xfId="0" applyFont="1" applyFill="1" applyBorder="1" applyAlignment="1">
      <alignment horizontal="center"/>
    </xf>
    <xf numFmtId="0" fontId="2" fillId="13" borderId="20" xfId="0" applyFont="1" applyFill="1" applyBorder="1" applyAlignment="1">
      <alignment horizontal="center"/>
    </xf>
    <xf numFmtId="0" fontId="2" fillId="14" borderId="19" xfId="0" applyFont="1" applyFill="1" applyBorder="1" applyAlignment="1">
      <alignment horizontal="center"/>
    </xf>
    <xf numFmtId="0" fontId="2" fillId="14" borderId="1" xfId="0" applyFont="1" applyFill="1" applyBorder="1" applyAlignment="1">
      <alignment horizontal="center"/>
    </xf>
    <xf numFmtId="0" fontId="2" fillId="14" borderId="20" xfId="0" applyFont="1" applyFill="1" applyBorder="1" applyAlignment="1">
      <alignment horizont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0" xfId="0" applyFont="1" applyFill="1" applyBorder="1" applyAlignment="1">
      <alignment horizontal="center" vertical="center"/>
    </xf>
    <xf numFmtId="0" fontId="2" fillId="23" borderId="36" xfId="0" applyFont="1" applyFill="1" applyBorder="1" applyAlignment="1">
      <alignment horizontal="center" vertical="center"/>
    </xf>
    <xf numFmtId="0" fontId="2" fillId="23" borderId="37" xfId="0" applyFont="1" applyFill="1" applyBorder="1" applyAlignment="1">
      <alignment horizontal="center" vertical="center"/>
    </xf>
    <xf numFmtId="0" fontId="2" fillId="23" borderId="30" xfId="0" applyFont="1" applyFill="1" applyBorder="1" applyAlignment="1">
      <alignment horizontal="center" vertical="center"/>
    </xf>
    <xf numFmtId="0" fontId="2" fillId="0" borderId="1"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 xfId="0" applyFill="1" applyBorder="1" applyAlignment="1">
      <alignment horizontal="left" vertical="center"/>
    </xf>
    <xf numFmtId="0" fontId="0" fillId="0" borderId="47" xfId="0" applyFill="1" applyBorder="1" applyAlignment="1">
      <alignment horizontal="left" vertical="center"/>
    </xf>
    <xf numFmtId="0" fontId="2" fillId="0" borderId="29" xfId="0" applyFont="1" applyFill="1" applyBorder="1" applyAlignment="1">
      <alignment horizontal="center"/>
    </xf>
    <xf numFmtId="0" fontId="0" fillId="0" borderId="29" xfId="0" applyFill="1" applyBorder="1"/>
    <xf numFmtId="0" fontId="0" fillId="0" borderId="32" xfId="0" applyFill="1" applyBorder="1"/>
    <xf numFmtId="0" fontId="0" fillId="0" borderId="19" xfId="0" applyFill="1" applyBorder="1" applyAlignment="1">
      <alignment horizontal="left" vertical="center"/>
    </xf>
    <xf numFmtId="0" fontId="0" fillId="0" borderId="21" xfId="0" applyFill="1" applyBorder="1" applyAlignment="1">
      <alignment horizontal="left" vertical="center"/>
    </xf>
    <xf numFmtId="0" fontId="0" fillId="0" borderId="24" xfId="0" applyFill="1" applyBorder="1" applyAlignment="1">
      <alignment horizontal="left" vertical="center" wrapText="1"/>
    </xf>
    <xf numFmtId="0" fontId="0" fillId="0" borderId="30" xfId="0" applyFill="1" applyBorder="1" applyAlignment="1">
      <alignment horizontal="left" vertical="center" wrapText="1"/>
    </xf>
    <xf numFmtId="0" fontId="0" fillId="0" borderId="24" xfId="0" applyBorder="1" applyAlignment="1">
      <alignment horizontal="left" vertical="center"/>
    </xf>
    <xf numFmtId="0" fontId="0" fillId="0" borderId="31" xfId="0" applyBorder="1" applyAlignment="1">
      <alignment horizontal="left" vertical="center"/>
    </xf>
    <xf numFmtId="0" fontId="2" fillId="0" borderId="24" xfId="0" applyFont="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8" xfId="0" applyFont="1" applyBorder="1" applyAlignment="1">
      <alignment horizontal="center"/>
    </xf>
    <xf numFmtId="2" fontId="3" fillId="13" borderId="61" xfId="2" applyNumberFormat="1" applyFill="1" applyBorder="1" applyAlignment="1">
      <alignment horizontal="center"/>
    </xf>
    <xf numFmtId="2" fontId="3" fillId="13" borderId="83" xfId="2" applyNumberFormat="1" applyFill="1" applyBorder="1" applyAlignment="1">
      <alignment horizontal="center"/>
    </xf>
    <xf numFmtId="2" fontId="3" fillId="13" borderId="34" xfId="2" applyNumberFormat="1" applyFill="1" applyBorder="1" applyAlignment="1">
      <alignment horizontal="center"/>
    </xf>
    <xf numFmtId="2" fontId="3" fillId="14" borderId="61" xfId="2" applyNumberFormat="1" applyFill="1" applyBorder="1" applyAlignment="1">
      <alignment horizontal="center"/>
    </xf>
    <xf numFmtId="2" fontId="3" fillId="14" borderId="83" xfId="2" applyNumberFormat="1" applyFill="1" applyBorder="1" applyAlignment="1">
      <alignment horizontal="center"/>
    </xf>
    <xf numFmtId="2" fontId="3" fillId="14" borderId="34" xfId="2" applyNumberFormat="1" applyFill="1" applyBorder="1" applyAlignment="1">
      <alignment horizontal="center"/>
    </xf>
    <xf numFmtId="0" fontId="2" fillId="17" borderId="38" xfId="0" applyFont="1" applyFill="1" applyBorder="1" applyAlignment="1">
      <alignment horizontal="center"/>
    </xf>
    <xf numFmtId="0" fontId="2" fillId="17" borderId="39" xfId="0" applyFont="1" applyFill="1" applyBorder="1" applyAlignment="1">
      <alignment horizontal="center"/>
    </xf>
    <xf numFmtId="0" fontId="2" fillId="13" borderId="40" xfId="0" applyFont="1" applyFill="1" applyBorder="1" applyAlignment="1">
      <alignment horizontal="center"/>
    </xf>
    <xf numFmtId="0" fontId="2" fillId="13" borderId="38" xfId="0" applyFont="1" applyFill="1" applyBorder="1" applyAlignment="1">
      <alignment horizontal="center"/>
    </xf>
    <xf numFmtId="0" fontId="2" fillId="13" borderId="39" xfId="0" applyFont="1" applyFill="1" applyBorder="1" applyAlignment="1">
      <alignment horizontal="center"/>
    </xf>
    <xf numFmtId="0" fontId="2" fillId="17" borderId="40" xfId="0" applyFont="1" applyFill="1" applyBorder="1" applyAlignment="1">
      <alignment horizontal="center"/>
    </xf>
    <xf numFmtId="0" fontId="2" fillId="0" borderId="3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1" xfId="0" applyFont="1" applyBorder="1" applyAlignment="1">
      <alignment horizontal="center" vertical="center"/>
    </xf>
    <xf numFmtId="0" fontId="0" fillId="0" borderId="30" xfId="0" applyBorder="1" applyAlignment="1">
      <alignment horizontal="left" vertical="center"/>
    </xf>
    <xf numFmtId="0" fontId="2" fillId="0" borderId="24" xfId="0" applyFont="1" applyBorder="1" applyAlignment="1">
      <alignment horizontal="left" vertical="center"/>
    </xf>
    <xf numFmtId="0" fontId="2" fillId="0" borderId="31" xfId="0" applyFont="1" applyBorder="1" applyAlignment="1">
      <alignment horizontal="left" vertical="center"/>
    </xf>
    <xf numFmtId="2" fontId="2" fillId="0" borderId="11" xfId="0" applyNumberFormat="1" applyFont="1" applyFill="1" applyBorder="1" applyAlignment="1">
      <alignment horizontal="center"/>
    </xf>
    <xf numFmtId="2" fontId="0" fillId="0" borderId="0" xfId="0" applyNumberFormat="1" applyAlignment="1"/>
    <xf numFmtId="0" fontId="2" fillId="17" borderId="94" xfId="0" applyFont="1" applyFill="1" applyBorder="1" applyAlignment="1">
      <alignment horizontal="center"/>
    </xf>
    <xf numFmtId="0" fontId="2" fillId="17" borderId="28" xfId="0" applyFont="1" applyFill="1" applyBorder="1" applyAlignment="1">
      <alignment horizontal="center"/>
    </xf>
    <xf numFmtId="0" fontId="2" fillId="17" borderId="89" xfId="0" applyFont="1" applyFill="1" applyBorder="1" applyAlignment="1">
      <alignment horizontal="center"/>
    </xf>
    <xf numFmtId="0" fontId="2" fillId="13" borderId="94" xfId="0" applyFont="1" applyFill="1" applyBorder="1" applyAlignment="1">
      <alignment horizontal="center"/>
    </xf>
    <xf numFmtId="0" fontId="2" fillId="13" borderId="28" xfId="0" applyFont="1" applyFill="1" applyBorder="1" applyAlignment="1">
      <alignment horizontal="center"/>
    </xf>
    <xf numFmtId="0" fontId="2" fillId="13" borderId="89" xfId="0" applyFont="1" applyFill="1" applyBorder="1" applyAlignment="1">
      <alignment horizontal="center"/>
    </xf>
    <xf numFmtId="0" fontId="2" fillId="0" borderId="19" xfId="0" applyFont="1" applyBorder="1" applyAlignment="1">
      <alignment horizontal="left" vertical="center"/>
    </xf>
    <xf numFmtId="164" fontId="12" fillId="0" borderId="0" xfId="1" applyNumberFormat="1" applyFont="1" applyFill="1" applyBorder="1" applyAlignment="1">
      <alignment horizontal="left"/>
    </xf>
    <xf numFmtId="164" fontId="12" fillId="0" borderId="59" xfId="1" applyNumberFormat="1" applyFont="1" applyFill="1" applyBorder="1" applyAlignment="1">
      <alignment horizontal="left"/>
    </xf>
    <xf numFmtId="0" fontId="2" fillId="0" borderId="68" xfId="0" applyFont="1" applyFill="1" applyBorder="1" applyAlignment="1">
      <alignment horizontal="center"/>
    </xf>
    <xf numFmtId="0" fontId="2" fillId="0" borderId="84" xfId="0" applyFont="1" applyFill="1" applyBorder="1" applyAlignment="1">
      <alignment horizontal="center" vertical="center"/>
    </xf>
    <xf numFmtId="0" fontId="0" fillId="0" borderId="67" xfId="0"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31" borderId="102" xfId="0" applyFill="1" applyBorder="1" applyAlignment="1">
      <alignment vertical="center" wrapText="1"/>
    </xf>
    <xf numFmtId="0" fontId="0" fillId="31" borderId="0" xfId="0" applyFill="1" applyBorder="1" applyAlignment="1">
      <alignment vertical="center" wrapText="1"/>
    </xf>
    <xf numFmtId="0" fontId="0" fillId="31" borderId="97" xfId="0" applyFill="1" applyBorder="1" applyAlignment="1">
      <alignment vertical="center" wrapText="1"/>
    </xf>
    <xf numFmtId="0" fontId="18" fillId="31" borderId="97" xfId="0" applyFont="1" applyFill="1" applyBorder="1" applyAlignment="1">
      <alignment wrapText="1"/>
    </xf>
    <xf numFmtId="0" fontId="0" fillId="0" borderId="0" xfId="0" applyAlignment="1"/>
    <xf numFmtId="3" fontId="18" fillId="14" borderId="0" xfId="0" applyNumberFormat="1" applyFont="1" applyFill="1" applyAlignment="1">
      <alignment wrapText="1"/>
    </xf>
    <xf numFmtId="0" fontId="18" fillId="14" borderId="0" xfId="0" applyFont="1" applyFill="1" applyAlignment="1">
      <alignment wrapText="1"/>
    </xf>
    <xf numFmtId="0" fontId="0" fillId="0" borderId="13" xfId="0" applyBorder="1" applyAlignment="1"/>
    <xf numFmtId="0" fontId="0" fillId="0" borderId="66" xfId="0" applyBorder="1" applyAlignment="1"/>
    <xf numFmtId="0" fontId="0" fillId="0" borderId="67" xfId="0" applyFill="1" applyBorder="1" applyAlignment="1">
      <alignment vertical="center"/>
    </xf>
    <xf numFmtId="0" fontId="0" fillId="0" borderId="68" xfId="0" applyFill="1" applyBorder="1" applyAlignment="1">
      <alignment vertical="center"/>
    </xf>
    <xf numFmtId="2" fontId="0" fillId="31" borderId="0" xfId="0" applyNumberFormat="1" applyFill="1" applyBorder="1" applyAlignment="1">
      <alignment wrapText="1"/>
    </xf>
    <xf numFmtId="2" fontId="0" fillId="31" borderId="95" xfId="0" applyNumberFormat="1" applyFill="1" applyBorder="1" applyAlignment="1">
      <alignment wrapText="1"/>
    </xf>
    <xf numFmtId="3" fontId="18" fillId="14" borderId="103" xfId="0" applyNumberFormat="1" applyFont="1" applyFill="1" applyBorder="1" applyAlignment="1">
      <alignment horizontal="left" wrapText="1"/>
    </xf>
    <xf numFmtId="0" fontId="0" fillId="14" borderId="0" xfId="0" applyFill="1" applyBorder="1" applyAlignment="1">
      <alignment wrapText="1"/>
    </xf>
    <xf numFmtId="3" fontId="2" fillId="0" borderId="84" xfId="0" applyNumberFormat="1" applyFont="1" applyFill="1" applyBorder="1" applyAlignment="1">
      <alignment horizontal="center" vertical="center"/>
    </xf>
    <xf numFmtId="0" fontId="0" fillId="0" borderId="0" xfId="0" applyFill="1" applyBorder="1" applyAlignment="1">
      <alignment wrapText="1"/>
    </xf>
    <xf numFmtId="0" fontId="2" fillId="0" borderId="0" xfId="0" applyFont="1" applyFill="1" applyBorder="1" applyAlignment="1">
      <alignment horizontal="right" wrapText="1"/>
    </xf>
    <xf numFmtId="0" fontId="0" fillId="0" borderId="0" xfId="0" applyFill="1" applyBorder="1" applyAlignment="1"/>
    <xf numFmtId="0" fontId="0" fillId="0" borderId="49" xfId="0" applyBorder="1" applyAlignment="1"/>
    <xf numFmtId="1" fontId="0" fillId="31" borderId="102" xfId="0" applyNumberFormat="1" applyFont="1" applyFill="1" applyBorder="1" applyAlignment="1">
      <alignment vertical="top" wrapText="1"/>
    </xf>
    <xf numFmtId="1" fontId="0" fillId="31" borderId="0" xfId="0" applyNumberFormat="1" applyFill="1" applyBorder="1" applyAlignment="1">
      <alignment vertical="top" wrapText="1"/>
    </xf>
    <xf numFmtId="1" fontId="0" fillId="31" borderId="97" xfId="0" applyNumberFormat="1" applyFill="1" applyBorder="1" applyAlignment="1">
      <alignment vertical="top" wrapText="1"/>
    </xf>
    <xf numFmtId="1" fontId="0" fillId="31" borderId="102" xfId="0" applyNumberFormat="1" applyFill="1" applyBorder="1" applyAlignment="1">
      <alignment vertical="top" wrapText="1"/>
    </xf>
    <xf numFmtId="0" fontId="0" fillId="0" borderId="0" xfId="0" applyBorder="1" applyAlignment="1">
      <alignment horizontal="center"/>
    </xf>
    <xf numFmtId="0" fontId="18" fillId="0" borderId="0" xfId="0" applyFont="1" applyAlignment="1">
      <alignment wrapText="1"/>
    </xf>
    <xf numFmtId="0" fontId="18" fillId="0" borderId="97" xfId="0" applyFont="1" applyBorder="1" applyAlignment="1">
      <alignment wrapText="1"/>
    </xf>
  </cellXfs>
  <cellStyles count="24">
    <cellStyle name="Bad" xfId="8" builtinId="27"/>
    <cellStyle name="Calculation" xfId="9" builtinId="22"/>
    <cellStyle name="Check Cell" xfId="4" builtinId="23"/>
    <cellStyle name="Comma" xfId="1" builtinId="3"/>
    <cellStyle name="Comma 2" xfId="11"/>
    <cellStyle name="Comma 3" xfId="12"/>
    <cellStyle name="Comma 4" xfId="21"/>
    <cellStyle name="Good" xfId="7" builtinId="26"/>
    <cellStyle name="Heading 3" xfId="6" builtinId="18"/>
    <cellStyle name="Hyperlink" xfId="10" builtinId="8"/>
    <cellStyle name="Hyperlink 2" xfId="13"/>
    <cellStyle name="Hyperlink 3" xfId="14"/>
    <cellStyle name="Hyperlink 4" xfId="22"/>
    <cellStyle name="Input" xfId="2" builtinId="20"/>
    <cellStyle name="Neutral" xfId="19" builtinId="28"/>
    <cellStyle name="Normal" xfId="0" builtinId="0"/>
    <cellStyle name="Normal 2" xfId="15"/>
    <cellStyle name="Normal 3" xfId="16"/>
    <cellStyle name="Normal 4" xfId="20"/>
    <cellStyle name="Output" xfId="3" builtinId="21"/>
    <cellStyle name="Percent" xfId="5" builtinId="5"/>
    <cellStyle name="Percent 2" xfId="17"/>
    <cellStyle name="Percent 3" xfId="18"/>
    <cellStyle name="Percent 4" xfId="23"/>
  </cellStyles>
  <dxfs count="0"/>
  <tableStyles count="0" defaultTableStyle="TableStyleMedium9" defaultPivotStyle="PivotStyleLight16"/>
  <colors>
    <mruColors>
      <color rgb="FF00FF00"/>
      <color rgb="FFFFCCFF"/>
      <color rgb="FFFF99FF"/>
      <color rgb="FFFF9900"/>
      <color rgb="FFDCDB9D"/>
      <color rgb="FFF8F8EC"/>
      <color rgb="FF96B74D"/>
      <color rgb="FFFFFF66"/>
      <color rgb="FF6666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theme" Target="theme/theme1.xml"/><Relationship Id="rId39" Type="http://schemas.openxmlformats.org/officeDocument/2006/relationships/styles" Target="styles.xml"/><Relationship Id="rId40" Type="http://schemas.openxmlformats.org/officeDocument/2006/relationships/sharedStrings" Target="sharedStrings.xml"/><Relationship Id="rId4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www.nass.usda.gov/Statistics_by_State/Minnesota/Publications/Annual_Statistical_Bulletin/2011/Whole%20Book.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animalscience.ucdavis.edu/Avian/pfs16C.htm.%20Accessed%20June%2019,%202013." TargetMode="Externa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hyperlink" Target="http://www.nass.usda.gov/Statistics_by_State/Minnesota/Publications/Annual_Statistical_Bulletin/2011/Whole%20Bo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O21"/>
  <sheetViews>
    <sheetView tabSelected="1" workbookViewId="0">
      <selection activeCell="B21" sqref="B21"/>
    </sheetView>
  </sheetViews>
  <sheetFormatPr baseColWidth="10" defaultColWidth="8.83203125" defaultRowHeight="14" x14ac:dyDescent="0"/>
  <cols>
    <col min="1" max="1" width="20" customWidth="1"/>
    <col min="7" max="7" width="6" customWidth="1"/>
    <col min="13" max="13" width="11.5" customWidth="1"/>
    <col min="14" max="14" width="14" customWidth="1"/>
    <col min="15" max="15" width="6.83203125" customWidth="1"/>
  </cols>
  <sheetData>
    <row r="1" spans="1:15" ht="20">
      <c r="A1" s="1105" t="s">
        <v>1074</v>
      </c>
    </row>
    <row r="2" spans="1:15" ht="15" thickBot="1">
      <c r="A2" s="164"/>
    </row>
    <row r="3" spans="1:15" ht="47.25" customHeight="1" thickTop="1">
      <c r="A3" s="1271" t="s">
        <v>985</v>
      </c>
      <c r="B3" s="1272"/>
      <c r="C3" s="1272"/>
      <c r="D3" s="1272"/>
      <c r="E3" s="1272"/>
      <c r="F3" s="1272"/>
      <c r="G3" s="1272"/>
      <c r="H3" s="1272"/>
      <c r="I3" s="1272"/>
      <c r="J3" s="1272"/>
      <c r="K3" s="1272"/>
      <c r="L3" s="1272"/>
      <c r="M3" s="1272"/>
      <c r="N3" s="1272"/>
      <c r="O3" s="1273"/>
    </row>
    <row r="4" spans="1:15">
      <c r="A4" s="1100"/>
      <c r="B4" s="698"/>
      <c r="C4" s="698"/>
      <c r="D4" s="698"/>
      <c r="E4" s="698"/>
      <c r="F4" s="698"/>
      <c r="G4" s="698"/>
      <c r="H4" s="698"/>
      <c r="I4" s="698"/>
      <c r="J4" s="698"/>
      <c r="K4" s="698"/>
      <c r="L4" s="698"/>
      <c r="M4" s="698"/>
      <c r="N4" s="698"/>
      <c r="O4" s="1101"/>
    </row>
    <row r="5" spans="1:15" ht="26.25" customHeight="1">
      <c r="A5" s="1098" t="s">
        <v>278</v>
      </c>
      <c r="B5" s="1021" t="s">
        <v>718</v>
      </c>
      <c r="C5" s="698"/>
      <c r="D5" s="698"/>
      <c r="E5" s="698"/>
      <c r="F5" s="698"/>
      <c r="G5" s="698"/>
      <c r="H5" s="698"/>
      <c r="I5" s="698"/>
      <c r="J5" s="698"/>
      <c r="K5" s="698"/>
      <c r="L5" s="698"/>
      <c r="M5" s="698"/>
      <c r="N5" s="698"/>
      <c r="O5" s="1101"/>
    </row>
    <row r="6" spans="1:15" ht="25.5" customHeight="1">
      <c r="A6" s="1099" t="s">
        <v>277</v>
      </c>
      <c r="B6" s="1021" t="s">
        <v>719</v>
      </c>
      <c r="C6" s="698"/>
      <c r="D6" s="698"/>
      <c r="E6" s="698"/>
      <c r="F6" s="698"/>
      <c r="G6" s="698"/>
      <c r="H6" s="698"/>
      <c r="I6" s="698"/>
      <c r="J6" s="698"/>
      <c r="K6" s="698"/>
      <c r="L6" s="698"/>
      <c r="M6" s="698"/>
      <c r="N6" s="698"/>
      <c r="O6" s="1101"/>
    </row>
    <row r="7" spans="1:15" ht="15" thickBot="1">
      <c r="A7" s="1104"/>
      <c r="B7" s="1102"/>
      <c r="C7" s="1102"/>
      <c r="D7" s="1102"/>
      <c r="E7" s="1102"/>
      <c r="F7" s="1102"/>
      <c r="G7" s="1102"/>
      <c r="H7" s="1102"/>
      <c r="I7" s="1102"/>
      <c r="J7" s="1102"/>
      <c r="K7" s="1102"/>
      <c r="L7" s="1102"/>
      <c r="M7" s="1102"/>
      <c r="N7" s="1102"/>
      <c r="O7" s="1103"/>
    </row>
    <row r="8" spans="1:15" ht="16" thickTop="1" thickBot="1"/>
    <row r="9" spans="1:15" ht="15" thickTop="1">
      <c r="A9" s="1106"/>
      <c r="B9" s="1107"/>
      <c r="C9" s="1107"/>
      <c r="D9" s="1107"/>
      <c r="E9" s="1107"/>
      <c r="F9" s="1107"/>
      <c r="G9" s="1107"/>
      <c r="H9" s="1107"/>
      <c r="I9" s="1107"/>
      <c r="J9" s="1107"/>
      <c r="K9" s="1107"/>
      <c r="L9" s="1107"/>
      <c r="M9" s="1107"/>
      <c r="N9" s="1107"/>
      <c r="O9" s="1109"/>
    </row>
    <row r="10" spans="1:15">
      <c r="A10" s="1100" t="s">
        <v>979</v>
      </c>
      <c r="B10" s="698"/>
      <c r="C10" s="698"/>
      <c r="D10" s="698"/>
      <c r="E10" s="698"/>
      <c r="F10" s="698"/>
      <c r="G10" s="698"/>
      <c r="H10" s="698"/>
      <c r="I10" s="698"/>
      <c r="J10" s="698"/>
      <c r="K10" s="698"/>
      <c r="L10" s="698"/>
      <c r="M10" s="698"/>
      <c r="N10" s="1089" t="s">
        <v>978</v>
      </c>
      <c r="O10" s="1101"/>
    </row>
    <row r="11" spans="1:15">
      <c r="A11" s="1100" t="s">
        <v>980</v>
      </c>
      <c r="B11" s="698"/>
      <c r="C11" s="698"/>
      <c r="D11" s="698"/>
      <c r="E11" s="698"/>
      <c r="F11" s="698"/>
      <c r="G11" s="698"/>
      <c r="H11" s="698"/>
      <c r="I11" s="698"/>
      <c r="J11" s="698"/>
      <c r="K11" s="698"/>
      <c r="L11" s="698"/>
      <c r="M11" s="698"/>
      <c r="N11" s="698"/>
      <c r="O11" s="1101"/>
    </row>
    <row r="12" spans="1:15">
      <c r="A12" s="1108"/>
      <c r="B12" s="698"/>
      <c r="C12" s="698"/>
      <c r="D12" s="698"/>
      <c r="E12" s="698"/>
      <c r="F12" s="698"/>
      <c r="G12" s="698"/>
      <c r="H12" s="698"/>
      <c r="I12" s="698"/>
      <c r="J12" s="698"/>
      <c r="K12" s="698"/>
      <c r="L12" s="698"/>
      <c r="M12" s="698"/>
      <c r="N12" s="698"/>
      <c r="O12" s="1101"/>
    </row>
    <row r="13" spans="1:15" ht="15" thickBot="1">
      <c r="A13" s="1104"/>
      <c r="B13" s="1102"/>
      <c r="C13" s="1102"/>
      <c r="D13" s="1102"/>
      <c r="E13" s="1102"/>
      <c r="F13" s="1102"/>
      <c r="G13" s="1102"/>
      <c r="H13" s="1102"/>
      <c r="I13" s="1102"/>
      <c r="J13" s="1102"/>
      <c r="K13" s="1102"/>
      <c r="L13" s="1102"/>
      <c r="M13" s="1102"/>
      <c r="N13" s="1102"/>
      <c r="O13" s="1103"/>
    </row>
    <row r="14" spans="1:15" ht="15" thickTop="1"/>
    <row r="16" spans="1:15" ht="20" customHeight="1">
      <c r="A16" s="1110" t="s">
        <v>981</v>
      </c>
      <c r="H16" s="1090" t="s">
        <v>984</v>
      </c>
    </row>
    <row r="17" spans="2:15" ht="20" customHeight="1">
      <c r="H17" s="1091" t="s">
        <v>983</v>
      </c>
    </row>
    <row r="18" spans="2:15" ht="20" customHeight="1">
      <c r="H18" s="1092" t="s">
        <v>614</v>
      </c>
    </row>
    <row r="19" spans="2:15" ht="20" customHeight="1">
      <c r="B19" s="1096"/>
      <c r="H19" s="1093" t="s">
        <v>621</v>
      </c>
      <c r="O19" s="900"/>
    </row>
    <row r="20" spans="2:15" ht="20" customHeight="1">
      <c r="H20" s="1094" t="s">
        <v>626</v>
      </c>
    </row>
    <row r="21" spans="2:15" ht="20" customHeight="1">
      <c r="H21" s="1095" t="s">
        <v>982</v>
      </c>
    </row>
  </sheetData>
  <sheetProtection password="A4FF" sheet="1" objects="1" scenarios="1"/>
  <mergeCells count="1">
    <mergeCell ref="A3:O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8" tint="0.39997558519241921"/>
  </sheetPr>
  <dimension ref="A1:W28"/>
  <sheetViews>
    <sheetView workbookViewId="0">
      <selection activeCell="A8" sqref="A8"/>
    </sheetView>
  </sheetViews>
  <sheetFormatPr baseColWidth="10" defaultColWidth="8.83203125" defaultRowHeight="14" x14ac:dyDescent="0"/>
  <cols>
    <col min="1" max="1" width="30.5" customWidth="1"/>
    <col min="2" max="2" width="13.33203125" bestFit="1" customWidth="1"/>
    <col min="3" max="3" width="12.6640625" bestFit="1" customWidth="1"/>
    <col min="4" max="4" width="10" bestFit="1" customWidth="1"/>
  </cols>
  <sheetData>
    <row r="1" spans="1:23" ht="18">
      <c r="A1" s="705" t="s">
        <v>278</v>
      </c>
      <c r="B1" s="561"/>
    </row>
    <row r="2" spans="1:23" ht="19" thickBot="1">
      <c r="A2" s="729" t="s">
        <v>277</v>
      </c>
      <c r="B2" s="561"/>
    </row>
    <row r="3" spans="1:23" ht="19" thickBot="1">
      <c r="A3" s="748" t="s">
        <v>808</v>
      </c>
      <c r="B3" s="862"/>
      <c r="E3" s="718" t="s">
        <v>650</v>
      </c>
      <c r="F3" s="719"/>
      <c r="G3" s="719"/>
      <c r="H3" s="719"/>
      <c r="I3" s="719"/>
      <c r="J3" s="719"/>
      <c r="K3" s="719"/>
      <c r="L3" s="719"/>
      <c r="M3" s="719"/>
      <c r="N3" s="719"/>
      <c r="O3" s="719"/>
      <c r="P3" s="719"/>
      <c r="Q3" s="719"/>
      <c r="R3" s="719"/>
      <c r="S3" s="719"/>
      <c r="T3" s="719"/>
      <c r="U3" s="719"/>
      <c r="V3" s="719"/>
      <c r="W3" s="699"/>
    </row>
    <row r="4" spans="1:23">
      <c r="A4" s="208"/>
      <c r="B4" s="676"/>
      <c r="C4" s="674"/>
      <c r="D4" s="596"/>
      <c r="E4" s="721"/>
      <c r="F4" s="698"/>
      <c r="G4" s="698"/>
      <c r="H4" s="698"/>
      <c r="I4" s="698"/>
      <c r="J4" s="698"/>
      <c r="K4" s="698"/>
      <c r="L4" s="698"/>
      <c r="M4" s="698"/>
      <c r="N4" s="698"/>
      <c r="O4" s="698"/>
      <c r="P4" s="698"/>
      <c r="Q4" s="698"/>
      <c r="R4" s="698"/>
      <c r="S4" s="698"/>
      <c r="T4" s="698"/>
      <c r="U4" s="698"/>
      <c r="V4" s="698"/>
      <c r="W4" s="700"/>
    </row>
    <row r="5" spans="1:23">
      <c r="A5" s="8"/>
      <c r="B5" s="670"/>
      <c r="C5" s="599"/>
      <c r="D5" s="8"/>
      <c r="E5" s="744" t="s">
        <v>805</v>
      </c>
      <c r="F5" s="697"/>
      <c r="G5" s="697"/>
      <c r="H5" s="697"/>
      <c r="I5" s="697"/>
      <c r="J5" s="697"/>
      <c r="K5" s="697"/>
      <c r="L5" s="697"/>
      <c r="M5" s="697"/>
      <c r="N5" s="697"/>
      <c r="O5" s="697"/>
      <c r="P5" s="697"/>
      <c r="Q5" s="697"/>
      <c r="R5" s="698"/>
      <c r="S5" s="698"/>
      <c r="T5" s="698"/>
      <c r="U5" s="698"/>
      <c r="V5" s="698"/>
      <c r="W5" s="700"/>
    </row>
    <row r="6" spans="1:23">
      <c r="A6" s="730" t="s">
        <v>596</v>
      </c>
      <c r="B6" s="731">
        <f>B8/0.962</f>
        <v>47632016.632016636</v>
      </c>
      <c r="C6" s="674"/>
      <c r="D6" s="8"/>
      <c r="E6" s="720"/>
      <c r="F6" s="701"/>
      <c r="G6" s="698"/>
      <c r="H6" s="698"/>
      <c r="I6" s="698"/>
      <c r="J6" s="698"/>
      <c r="K6" s="698"/>
      <c r="L6" s="698"/>
      <c r="M6" s="698"/>
      <c r="N6" s="698"/>
      <c r="O6" s="698"/>
      <c r="P6" s="698"/>
      <c r="Q6" s="698"/>
      <c r="R6" s="698"/>
      <c r="S6" s="698"/>
      <c r="T6" s="698"/>
      <c r="U6" s="698"/>
      <c r="V6" s="698"/>
      <c r="W6" s="700"/>
    </row>
    <row r="7" spans="1:23">
      <c r="A7" s="730" t="s">
        <v>598</v>
      </c>
      <c r="B7" s="731">
        <f>B6/0.84</f>
        <v>56704781.704781711</v>
      </c>
      <c r="C7" s="599"/>
      <c r="D7" s="8"/>
      <c r="E7" s="741" t="s">
        <v>798</v>
      </c>
      <c r="F7" s="701"/>
      <c r="G7" s="698"/>
      <c r="H7" s="698"/>
      <c r="I7" s="698"/>
      <c r="J7" s="698"/>
      <c r="K7" s="698"/>
      <c r="L7" s="698"/>
      <c r="M7" s="698"/>
      <c r="N7" s="698"/>
      <c r="O7" s="698"/>
      <c r="P7" s="698"/>
      <c r="Q7" s="698"/>
      <c r="R7" s="698"/>
      <c r="S7" s="698"/>
      <c r="T7" s="698"/>
      <c r="U7" s="698"/>
      <c r="V7" s="698"/>
      <c r="W7" s="700"/>
    </row>
    <row r="8" spans="1:23">
      <c r="A8" s="707" t="s">
        <v>1087</v>
      </c>
      <c r="B8" s="766">
        <v>45822000</v>
      </c>
      <c r="C8" s="599"/>
      <c r="D8" s="8"/>
      <c r="E8" s="720"/>
      <c r="F8" s="725" t="s">
        <v>799</v>
      </c>
      <c r="G8" s="739"/>
      <c r="H8" s="698"/>
      <c r="I8" s="698"/>
      <c r="J8" s="698"/>
      <c r="K8" s="698"/>
      <c r="L8" s="698"/>
      <c r="M8" s="698"/>
      <c r="N8" s="698"/>
      <c r="O8" s="698"/>
      <c r="P8" s="698"/>
      <c r="Q8" s="698"/>
      <c r="R8" s="698"/>
      <c r="S8" s="698"/>
      <c r="T8" s="698"/>
      <c r="U8" s="698"/>
      <c r="V8" s="698"/>
      <c r="W8" s="700"/>
    </row>
    <row r="9" spans="1:23">
      <c r="A9" s="733" t="s">
        <v>597</v>
      </c>
      <c r="B9" s="731">
        <f>B8/2</f>
        <v>22911000</v>
      </c>
      <c r="C9" s="599"/>
      <c r="D9" s="8"/>
      <c r="E9" s="720"/>
      <c r="F9" s="725" t="s">
        <v>800</v>
      </c>
      <c r="G9" s="698"/>
      <c r="H9" s="698"/>
      <c r="I9" s="698"/>
      <c r="J9" s="698"/>
      <c r="K9" s="698"/>
      <c r="L9" s="698"/>
      <c r="M9" s="698"/>
      <c r="N9" s="698"/>
      <c r="O9" s="698"/>
      <c r="P9" s="698"/>
      <c r="Q9" s="698"/>
      <c r="R9" s="698"/>
      <c r="S9" s="698"/>
      <c r="T9" s="698"/>
      <c r="U9" s="698"/>
      <c r="V9" s="698"/>
      <c r="W9" s="700"/>
    </row>
    <row r="10" spans="1:23">
      <c r="A10" s="733" t="s">
        <v>548</v>
      </c>
      <c r="B10" s="731">
        <f>B8/2</f>
        <v>22911000</v>
      </c>
      <c r="C10" s="599"/>
      <c r="D10" s="8"/>
      <c r="E10" s="720"/>
      <c r="F10" s="701"/>
      <c r="G10" s="698"/>
      <c r="H10" s="698"/>
      <c r="I10" s="698"/>
      <c r="J10" s="698"/>
      <c r="K10" s="698"/>
      <c r="L10" s="698"/>
      <c r="M10" s="698"/>
      <c r="N10" s="698"/>
      <c r="O10" s="698"/>
      <c r="P10" s="698"/>
      <c r="Q10" s="698"/>
      <c r="R10" s="698"/>
      <c r="S10" s="698"/>
      <c r="T10" s="698"/>
      <c r="U10" s="698"/>
      <c r="V10" s="698"/>
      <c r="W10" s="700"/>
    </row>
    <row r="11" spans="1:23">
      <c r="A11" s="730" t="s">
        <v>595</v>
      </c>
      <c r="B11" s="731">
        <f>B6*0.038</f>
        <v>1810016.6320166322</v>
      </c>
      <c r="C11" s="8"/>
      <c r="D11" s="8"/>
      <c r="E11" s="742" t="s">
        <v>802</v>
      </c>
      <c r="F11" s="697"/>
      <c r="G11" s="697"/>
      <c r="H11" s="697"/>
      <c r="I11" s="698"/>
      <c r="J11" s="698"/>
      <c r="K11" s="698"/>
      <c r="L11" s="698"/>
      <c r="M11" s="698"/>
      <c r="N11" s="698"/>
      <c r="O11" s="698"/>
      <c r="P11" s="698"/>
      <c r="Q11" s="698"/>
      <c r="R11" s="698"/>
      <c r="S11" s="698"/>
      <c r="T11" s="698"/>
      <c r="U11" s="698"/>
      <c r="V11" s="698"/>
      <c r="W11" s="700"/>
    </row>
    <row r="12" spans="1:23">
      <c r="A12" s="682"/>
      <c r="B12" s="676"/>
      <c r="C12" s="599"/>
      <c r="D12" s="8"/>
      <c r="E12" s="742"/>
      <c r="F12" s="697"/>
      <c r="G12" s="697"/>
      <c r="H12" s="697"/>
      <c r="I12" s="698"/>
      <c r="J12" s="698"/>
      <c r="K12" s="698"/>
      <c r="L12" s="698"/>
      <c r="M12" s="698"/>
      <c r="N12" s="698"/>
      <c r="O12" s="698"/>
      <c r="P12" s="698"/>
      <c r="Q12" s="698"/>
      <c r="R12" s="698"/>
      <c r="S12" s="698"/>
      <c r="T12" s="698"/>
      <c r="U12" s="698"/>
      <c r="V12" s="698"/>
      <c r="W12" s="700"/>
    </row>
    <row r="13" spans="1:23">
      <c r="A13" s="682"/>
      <c r="B13" s="676"/>
      <c r="E13" s="720" t="s">
        <v>801</v>
      </c>
      <c r="F13" s="701"/>
      <c r="G13" s="698"/>
      <c r="H13" s="698"/>
      <c r="I13" s="698"/>
      <c r="J13" s="698"/>
      <c r="K13" s="698"/>
      <c r="L13" s="698"/>
      <c r="M13" s="698"/>
      <c r="N13" s="698"/>
      <c r="O13" s="698"/>
      <c r="P13" s="698"/>
      <c r="Q13" s="698"/>
      <c r="R13" s="698"/>
      <c r="S13" s="698"/>
      <c r="T13" s="698"/>
      <c r="U13" s="698"/>
      <c r="V13" s="698"/>
      <c r="W13" s="700"/>
    </row>
    <row r="14" spans="1:23">
      <c r="A14" s="208"/>
      <c r="B14" s="597"/>
      <c r="C14" s="619"/>
      <c r="E14" s="720"/>
      <c r="F14" s="725" t="s">
        <v>642</v>
      </c>
      <c r="G14" s="698"/>
      <c r="H14" s="698"/>
      <c r="I14" s="698"/>
      <c r="J14" s="698"/>
      <c r="K14" s="698"/>
      <c r="L14" s="698"/>
      <c r="M14" s="698"/>
      <c r="N14" s="698"/>
      <c r="O14" s="698"/>
      <c r="P14" s="698"/>
      <c r="Q14" s="698"/>
      <c r="R14" s="698"/>
      <c r="S14" s="698"/>
      <c r="T14" s="698"/>
      <c r="U14" s="698"/>
      <c r="V14" s="698"/>
      <c r="W14" s="700"/>
    </row>
    <row r="15" spans="1:23">
      <c r="A15" s="208"/>
      <c r="B15" s="689"/>
      <c r="C15" s="619"/>
      <c r="E15" s="720"/>
      <c r="F15" s="740" t="s">
        <v>640</v>
      </c>
      <c r="G15" s="698"/>
      <c r="H15" s="698"/>
      <c r="I15" s="698"/>
      <c r="J15" s="698"/>
      <c r="K15" s="698"/>
      <c r="L15" s="698"/>
      <c r="M15" s="698"/>
      <c r="N15" s="698"/>
      <c r="O15" s="698"/>
      <c r="P15" s="698"/>
      <c r="Q15" s="698"/>
      <c r="R15" s="698"/>
      <c r="S15" s="698"/>
      <c r="T15" s="698"/>
      <c r="U15" s="698"/>
      <c r="V15" s="698"/>
      <c r="W15" s="700"/>
    </row>
    <row r="16" spans="1:23">
      <c r="A16" s="208"/>
      <c r="B16" s="597"/>
      <c r="C16" s="350"/>
      <c r="E16" s="720"/>
      <c r="F16" s="740"/>
      <c r="G16" s="698"/>
      <c r="H16" s="698"/>
      <c r="I16" s="698"/>
      <c r="J16" s="698"/>
      <c r="K16" s="698"/>
      <c r="L16" s="698"/>
      <c r="M16" s="698"/>
      <c r="N16" s="698"/>
      <c r="O16" s="698"/>
      <c r="P16" s="698"/>
      <c r="Q16" s="698"/>
      <c r="R16" s="698"/>
      <c r="S16" s="698"/>
      <c r="T16" s="698"/>
      <c r="U16" s="698"/>
      <c r="V16" s="698"/>
      <c r="W16" s="700"/>
    </row>
    <row r="17" spans="1:23">
      <c r="A17" s="208"/>
      <c r="B17" s="597"/>
      <c r="C17" s="350"/>
      <c r="E17" s="720" t="s">
        <v>803</v>
      </c>
      <c r="F17" s="701"/>
      <c r="G17" s="698"/>
      <c r="H17" s="698"/>
      <c r="I17" s="698"/>
      <c r="J17" s="698"/>
      <c r="K17" s="698"/>
      <c r="L17" s="698"/>
      <c r="M17" s="698"/>
      <c r="N17" s="698"/>
      <c r="O17" s="698"/>
      <c r="P17" s="698"/>
      <c r="Q17" s="698"/>
      <c r="R17" s="698"/>
      <c r="S17" s="698"/>
      <c r="T17" s="698"/>
      <c r="U17" s="698"/>
      <c r="V17" s="698"/>
      <c r="W17" s="700"/>
    </row>
    <row r="18" spans="1:23">
      <c r="A18" s="208"/>
      <c r="B18" s="597"/>
      <c r="C18" s="350"/>
      <c r="E18" s="720"/>
      <c r="F18" s="725" t="s">
        <v>804</v>
      </c>
      <c r="G18" s="698"/>
      <c r="H18" s="698"/>
      <c r="I18" s="698"/>
      <c r="J18" s="698"/>
      <c r="K18" s="698"/>
      <c r="L18" s="698"/>
      <c r="M18" s="698"/>
      <c r="N18" s="698"/>
      <c r="O18" s="698"/>
      <c r="P18" s="698"/>
      <c r="Q18" s="698"/>
      <c r="R18" s="698"/>
      <c r="S18" s="698"/>
      <c r="T18" s="698"/>
      <c r="U18" s="698"/>
      <c r="V18" s="698"/>
      <c r="W18" s="700"/>
    </row>
    <row r="19" spans="1:23">
      <c r="A19" s="208"/>
      <c r="B19" s="597"/>
      <c r="C19" s="625"/>
      <c r="E19" s="720"/>
      <c r="F19" s="701"/>
      <c r="G19" s="698"/>
      <c r="H19" s="698"/>
      <c r="I19" s="698"/>
      <c r="J19" s="698"/>
      <c r="K19" s="698"/>
      <c r="L19" s="698"/>
      <c r="M19" s="698"/>
      <c r="N19" s="698"/>
      <c r="O19" s="698"/>
      <c r="P19" s="698"/>
      <c r="Q19" s="698"/>
      <c r="R19" s="698"/>
      <c r="S19" s="698"/>
      <c r="T19" s="698"/>
      <c r="U19" s="698"/>
      <c r="V19" s="698"/>
      <c r="W19" s="700"/>
    </row>
    <row r="20" spans="1:23" ht="15" thickBot="1">
      <c r="B20" s="5"/>
      <c r="C20" s="350"/>
      <c r="E20" s="702"/>
      <c r="F20" s="743"/>
      <c r="G20" s="703"/>
      <c r="H20" s="703"/>
      <c r="I20" s="703"/>
      <c r="J20" s="703"/>
      <c r="K20" s="703"/>
      <c r="L20" s="703"/>
      <c r="M20" s="703"/>
      <c r="N20" s="703"/>
      <c r="O20" s="703"/>
      <c r="P20" s="703"/>
      <c r="Q20" s="703"/>
      <c r="R20" s="703"/>
      <c r="S20" s="703"/>
      <c r="T20" s="703"/>
      <c r="U20" s="703"/>
      <c r="V20" s="703"/>
      <c r="W20" s="704"/>
    </row>
    <row r="21" spans="1:23">
      <c r="B21" s="5"/>
    </row>
    <row r="22" spans="1:23">
      <c r="B22" s="603"/>
    </row>
    <row r="23" spans="1:23">
      <c r="B23" s="569"/>
      <c r="C23" s="350"/>
    </row>
    <row r="25" spans="1:23">
      <c r="B25" s="5"/>
    </row>
    <row r="26" spans="1:23">
      <c r="B26" s="5"/>
    </row>
    <row r="27" spans="1:23">
      <c r="C27" s="5"/>
    </row>
    <row r="28" spans="1:23">
      <c r="C28" s="5"/>
    </row>
  </sheetData>
  <sheetProtection password="A4FF" sheet="1" objects="1" scenarios="1"/>
  <hyperlinks>
    <hyperlink ref="F15"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8" tint="0.39997558519241921"/>
  </sheetPr>
  <dimension ref="A1:X66"/>
  <sheetViews>
    <sheetView workbookViewId="0">
      <pane xSplit="1" topLeftCell="B1" activePane="topRight" state="frozen"/>
      <selection pane="topRight" activeCell="G61" sqref="G61"/>
    </sheetView>
  </sheetViews>
  <sheetFormatPr baseColWidth="10" defaultColWidth="8.83203125" defaultRowHeight="14" x14ac:dyDescent="0"/>
  <cols>
    <col min="1" max="1" width="45.83203125" customWidth="1"/>
    <col min="2" max="2" width="13.6640625" customWidth="1"/>
    <col min="3" max="3" width="12.5" customWidth="1"/>
    <col min="4" max="4" width="13" customWidth="1"/>
    <col min="5" max="5" width="12" customWidth="1"/>
    <col min="6" max="6" width="13" customWidth="1"/>
    <col min="7" max="7" width="14.1640625" customWidth="1"/>
    <col min="8" max="8" width="14.33203125" customWidth="1"/>
    <col min="9" max="9" width="10.83203125" customWidth="1"/>
  </cols>
  <sheetData>
    <row r="1" spans="1:24" ht="31.5" customHeight="1" thickBot="1">
      <c r="A1" s="748" t="s">
        <v>808</v>
      </c>
      <c r="B1" s="572" t="s">
        <v>599</v>
      </c>
      <c r="C1" s="572" t="s">
        <v>600</v>
      </c>
      <c r="D1" s="572" t="s">
        <v>225</v>
      </c>
      <c r="E1" s="572" t="s">
        <v>601</v>
      </c>
    </row>
    <row r="2" spans="1:24">
      <c r="B2" s="562" t="s">
        <v>602</v>
      </c>
      <c r="C2" s="565" t="s">
        <v>603</v>
      </c>
      <c r="D2" s="926" t="s">
        <v>605</v>
      </c>
      <c r="E2" s="562" t="s">
        <v>604</v>
      </c>
      <c r="I2" s="718" t="s">
        <v>650</v>
      </c>
      <c r="J2" s="719"/>
      <c r="K2" s="719"/>
      <c r="L2" s="719"/>
      <c r="M2" s="719"/>
      <c r="N2" s="719"/>
      <c r="O2" s="719"/>
      <c r="P2" s="719"/>
      <c r="Q2" s="719"/>
      <c r="R2" s="719"/>
      <c r="S2" s="719"/>
      <c r="T2" s="719"/>
      <c r="U2" s="719"/>
      <c r="V2" s="719"/>
      <c r="W2" s="719"/>
      <c r="X2" s="699"/>
    </row>
    <row r="3" spans="1:24">
      <c r="A3" s="164" t="s">
        <v>374</v>
      </c>
      <c r="B3" s="564">
        <v>0.68600000000000005</v>
      </c>
      <c r="C3" s="564">
        <v>1.5760000000000001</v>
      </c>
      <c r="D3" s="564">
        <v>2.0880000000000001</v>
      </c>
      <c r="E3" s="564">
        <v>2.59</v>
      </c>
      <c r="G3" s="561"/>
      <c r="I3" s="720"/>
      <c r="J3" s="698"/>
      <c r="K3" s="698"/>
      <c r="L3" s="698"/>
      <c r="M3" s="698"/>
      <c r="N3" s="698"/>
      <c r="O3" s="698"/>
      <c r="P3" s="698"/>
      <c r="Q3" s="698"/>
      <c r="R3" s="698"/>
      <c r="S3" s="698"/>
      <c r="T3" s="698"/>
      <c r="U3" s="698"/>
      <c r="V3" s="698"/>
      <c r="W3" s="698"/>
      <c r="X3" s="700"/>
    </row>
    <row r="4" spans="1:24">
      <c r="A4" s="164" t="s">
        <v>291</v>
      </c>
      <c r="B4" s="564">
        <f>CONVERT(B3,"kg","lbm")</f>
        <v>1.5123711185882602</v>
      </c>
      <c r="C4" s="564">
        <f t="shared" ref="C4:E4" si="0">CONVERT(C3,"kg","lbm")</f>
        <v>3.4744852520336704</v>
      </c>
      <c r="D4" s="564">
        <f t="shared" si="0"/>
        <v>4.6032520344202439</v>
      </c>
      <c r="E4" s="564">
        <f t="shared" si="0"/>
        <v>5.709972590588329</v>
      </c>
      <c r="I4" s="744" t="s">
        <v>806</v>
      </c>
      <c r="J4" s="698"/>
      <c r="K4" s="698"/>
      <c r="L4" s="698"/>
      <c r="M4" s="698"/>
      <c r="N4" s="698"/>
      <c r="O4" s="698"/>
      <c r="P4" s="698"/>
      <c r="Q4" s="698"/>
      <c r="R4" s="698"/>
      <c r="S4" s="698"/>
      <c r="T4" s="698"/>
      <c r="U4" s="698"/>
      <c r="V4" s="698"/>
      <c r="W4" s="698"/>
      <c r="X4" s="700"/>
    </row>
    <row r="5" spans="1:24">
      <c r="A5" s="164"/>
      <c r="I5" s="723"/>
      <c r="J5" s="698"/>
      <c r="K5" s="698"/>
      <c r="L5" s="698"/>
      <c r="M5" s="698"/>
      <c r="N5" s="698"/>
      <c r="O5" s="698"/>
      <c r="P5" s="698"/>
      <c r="Q5" s="698"/>
      <c r="R5" s="698"/>
      <c r="S5" s="698"/>
      <c r="T5" s="698"/>
      <c r="U5" s="698"/>
      <c r="V5" s="698"/>
      <c r="W5" s="698"/>
      <c r="X5" s="700"/>
    </row>
    <row r="6" spans="1:24">
      <c r="A6" s="635" t="s">
        <v>550</v>
      </c>
      <c r="B6" s="564">
        <v>0.48699999999999999</v>
      </c>
      <c r="C6" s="564">
        <v>0.96</v>
      </c>
      <c r="D6" s="564">
        <v>1.141</v>
      </c>
      <c r="E6" s="564">
        <v>1.28</v>
      </c>
      <c r="G6" s="249"/>
      <c r="I6" s="723" t="s">
        <v>725</v>
      </c>
      <c r="J6" s="698"/>
      <c r="K6" s="698"/>
      <c r="L6" s="698"/>
      <c r="M6" s="698"/>
      <c r="N6" s="698"/>
      <c r="O6" s="698"/>
      <c r="P6" s="698"/>
      <c r="Q6" s="698"/>
      <c r="R6" s="698"/>
      <c r="S6" s="698"/>
      <c r="T6" s="698"/>
      <c r="U6" s="698"/>
      <c r="V6" s="698"/>
      <c r="W6" s="698"/>
      <c r="X6" s="700"/>
    </row>
    <row r="7" spans="1:24">
      <c r="A7" s="635" t="s">
        <v>551</v>
      </c>
      <c r="B7" s="564">
        <f t="shared" ref="B7:E7" si="1">CONVERT(B6,"kg","lbm")</f>
        <v>1.0736512168403538</v>
      </c>
      <c r="C7" s="564">
        <f t="shared" si="1"/>
        <v>2.1164377169748247</v>
      </c>
      <c r="D7" s="564">
        <f t="shared" si="1"/>
        <v>2.5154744115294529</v>
      </c>
      <c r="E7" s="564">
        <f t="shared" si="1"/>
        <v>2.821916955966433</v>
      </c>
      <c r="G7" s="249"/>
      <c r="I7" s="723"/>
      <c r="J7" s="725" t="s">
        <v>722</v>
      </c>
      <c r="K7" s="698"/>
      <c r="L7" s="698"/>
      <c r="M7" s="698"/>
      <c r="N7" s="698"/>
      <c r="O7" s="698"/>
      <c r="P7" s="698"/>
      <c r="Q7" s="698"/>
      <c r="R7" s="698"/>
      <c r="S7" s="698"/>
      <c r="T7" s="698"/>
      <c r="U7" s="698"/>
      <c r="V7" s="698"/>
      <c r="W7" s="698"/>
      <c r="X7" s="700"/>
    </row>
    <row r="8" spans="1:24">
      <c r="A8" s="635" t="s">
        <v>552</v>
      </c>
      <c r="B8" s="564">
        <f>B6/7</f>
        <v>6.9571428571428576E-2</v>
      </c>
      <c r="C8" s="564">
        <f t="shared" ref="C8:E9" si="2">C6/7</f>
        <v>0.13714285714285715</v>
      </c>
      <c r="D8" s="564">
        <f t="shared" si="2"/>
        <v>0.16300000000000001</v>
      </c>
      <c r="E8" s="564">
        <f t="shared" si="2"/>
        <v>0.18285714285714286</v>
      </c>
      <c r="G8" s="249"/>
      <c r="H8" s="564"/>
      <c r="I8" s="721"/>
      <c r="J8" s="698"/>
      <c r="K8" s="698"/>
      <c r="L8" s="698"/>
      <c r="M8" s="698"/>
      <c r="N8" s="698"/>
      <c r="O8" s="698"/>
      <c r="P8" s="698"/>
      <c r="Q8" s="698"/>
      <c r="R8" s="698"/>
      <c r="S8" s="698"/>
      <c r="T8" s="698"/>
      <c r="U8" s="698"/>
      <c r="V8" s="698"/>
      <c r="W8" s="698"/>
      <c r="X8" s="700"/>
    </row>
    <row r="9" spans="1:24">
      <c r="A9" s="635" t="s">
        <v>553</v>
      </c>
      <c r="B9" s="564">
        <f>B7/7</f>
        <v>0.15337874526290768</v>
      </c>
      <c r="C9" s="564">
        <f t="shared" si="2"/>
        <v>0.30234824528211784</v>
      </c>
      <c r="D9" s="564">
        <f t="shared" si="2"/>
        <v>0.35935348736135042</v>
      </c>
      <c r="E9" s="564">
        <f t="shared" si="2"/>
        <v>0.4031309937094904</v>
      </c>
      <c r="I9" s="1316" t="s">
        <v>807</v>
      </c>
      <c r="J9" s="1317"/>
      <c r="K9" s="1317"/>
      <c r="L9" s="1317"/>
      <c r="M9" s="1317"/>
      <c r="N9" s="1317"/>
      <c r="O9" s="1317"/>
      <c r="P9" s="1317"/>
      <c r="Q9" s="1317"/>
      <c r="R9" s="1317"/>
      <c r="S9" s="1317"/>
      <c r="T9" s="1317"/>
      <c r="U9" s="1317"/>
      <c r="V9" s="1317"/>
      <c r="W9" s="1317"/>
      <c r="X9" s="1290"/>
    </row>
    <row r="10" spans="1:24">
      <c r="A10" s="635" t="s">
        <v>283</v>
      </c>
      <c r="I10" s="1291"/>
      <c r="J10" s="1317"/>
      <c r="K10" s="1317"/>
      <c r="L10" s="1317"/>
      <c r="M10" s="1317"/>
      <c r="N10" s="1317"/>
      <c r="O10" s="1317"/>
      <c r="P10" s="1317"/>
      <c r="Q10" s="1317"/>
      <c r="R10" s="1317"/>
      <c r="S10" s="1317"/>
      <c r="T10" s="1317"/>
      <c r="U10" s="1317"/>
      <c r="V10" s="1317"/>
      <c r="W10" s="1317"/>
      <c r="X10" s="1290"/>
    </row>
    <row r="11" spans="1:24" ht="15" thickBot="1">
      <c r="A11" s="635" t="s">
        <v>294</v>
      </c>
      <c r="I11" s="724"/>
      <c r="J11" s="743"/>
      <c r="K11" s="703"/>
      <c r="L11" s="703"/>
      <c r="M11" s="703"/>
      <c r="N11" s="703"/>
      <c r="O11" s="703"/>
      <c r="P11" s="703"/>
      <c r="Q11" s="703"/>
      <c r="R11" s="703"/>
      <c r="S11" s="703"/>
      <c r="T11" s="703"/>
      <c r="U11" s="703"/>
      <c r="V11" s="703"/>
      <c r="W11" s="703"/>
      <c r="X11" s="704"/>
    </row>
    <row r="12" spans="1:24">
      <c r="A12" s="635" t="s">
        <v>280</v>
      </c>
    </row>
    <row r="13" spans="1:24">
      <c r="A13" s="642"/>
      <c r="B13" s="564"/>
      <c r="C13" s="564"/>
      <c r="D13" s="564"/>
      <c r="E13" s="564"/>
      <c r="G13" s="564"/>
    </row>
    <row r="14" spans="1:24">
      <c r="A14" s="909" t="s">
        <v>567</v>
      </c>
      <c r="B14" s="910">
        <f>B15*B6</f>
        <v>2.1914999999999999E-3</v>
      </c>
      <c r="C14" s="910">
        <f t="shared" ref="C14:E14" si="3">C15*C6</f>
        <v>3.3600000000000001E-3</v>
      </c>
      <c r="D14" s="910">
        <f t="shared" si="3"/>
        <v>3.4230000000000003E-3</v>
      </c>
      <c r="E14" s="910">
        <f t="shared" si="3"/>
        <v>7.6800000000000002E-3</v>
      </c>
      <c r="G14" s="564"/>
    </row>
    <row r="15" spans="1:24">
      <c r="A15" s="909" t="s">
        <v>543</v>
      </c>
      <c r="B15" s="912">
        <v>4.4999999999999997E-3</v>
      </c>
      <c r="C15" s="912">
        <v>3.5000000000000001E-3</v>
      </c>
      <c r="D15" s="912">
        <v>3.0000000000000001E-3</v>
      </c>
      <c r="E15" s="912">
        <v>6.0000000000000001E-3</v>
      </c>
      <c r="G15" s="564"/>
    </row>
    <row r="16" spans="1:24">
      <c r="A16" s="635" t="s">
        <v>566</v>
      </c>
      <c r="B16" s="564">
        <f>(B36*Feed_Composition!$E9)+(B37*Feed_Composition!$E6)+(B38*Feed_Composition!$E27)+(B39*Feed_Composition!$E28)+(B40*Feed_Composition!$E26)+(B41*Feed_Composition!$E15)+(B42*Feed_Composition!$E7)+(B44*Feed_Composition!$E28)+(B43*Feed_Composition!E11)</f>
        <v>4.9457563285714287E-3</v>
      </c>
      <c r="C16" s="564">
        <f>(C36*Feed_Composition!$E9)+(C37*Feed_Composition!$E6)+(C38*Feed_Composition!$E27)+(C39*Feed_Composition!$E28)+(C40*Feed_Composition!$E26)+(C41*Feed_Composition!$E15)+(C42*Feed_Composition!$E7)+(C44*Feed_Composition!$E28)+(C43*Feed_Composition!E11)</f>
        <v>1.2523359085714288E-2</v>
      </c>
      <c r="D16" s="564">
        <f>(D36*Feed_Composition!$E9)+(D37*Feed_Composition!$E6)+(D38*Feed_Composition!$E27)+(D39*Feed_Composition!$E28)+(D40*Feed_Composition!$E26)+(D41*Feed_Composition!$E15)+(D42*Feed_Composition!$E7)+(D44*Feed_Composition!$E28)+(D43*Feed_Composition!E11)</f>
        <v>8.9605664000000015E-3</v>
      </c>
      <c r="E16" s="564">
        <f>(E36*Feed_Composition!$E9)+(E37*Feed_Composition!$E6)+(E38*Feed_Composition!$E27)+(E39*Feed_Composition!$E28)+(E40*Feed_Composition!$E26)+(E41*Feed_Composition!$E15)+(E42*Feed_Composition!$E7)+(E44*Feed_Composition!$E28)+(E43*Feed_Composition!E11)</f>
        <v>2.0104338285714288E-3</v>
      </c>
      <c r="F16" s="564"/>
      <c r="G16" s="564"/>
    </row>
    <row r="17" spans="1:24">
      <c r="A17" s="635" t="s">
        <v>580</v>
      </c>
      <c r="B17" s="603">
        <f>(B16/17)/B8</f>
        <v>4.1817E-3</v>
      </c>
      <c r="C17" s="603">
        <f>(C16/16)/C8</f>
        <v>5.7072600000000005E-3</v>
      </c>
      <c r="D17" s="603">
        <f>(D16/10)/D8</f>
        <v>5.4972800000000011E-3</v>
      </c>
      <c r="E17" s="603">
        <f>(E16/2)/E8</f>
        <v>5.4972800000000002E-3</v>
      </c>
      <c r="F17" s="564"/>
    </row>
    <row r="18" spans="1:24">
      <c r="A18" s="635"/>
      <c r="F18" s="564"/>
    </row>
    <row r="19" spans="1:24">
      <c r="A19" s="635"/>
      <c r="F19" s="564"/>
    </row>
    <row r="20" spans="1:24">
      <c r="A20" s="909" t="s">
        <v>545</v>
      </c>
      <c r="B20" s="910">
        <f>B21*B6</f>
        <v>0.13636000000000001</v>
      </c>
      <c r="C20" s="910">
        <f t="shared" ref="C20:E20" si="4">C21*C6</f>
        <v>0.2112</v>
      </c>
      <c r="D20" s="910">
        <f t="shared" si="4"/>
        <v>0.18826500000000002</v>
      </c>
      <c r="E20" s="910">
        <f t="shared" si="4"/>
        <v>0.35840000000000005</v>
      </c>
      <c r="F20" s="564"/>
    </row>
    <row r="21" spans="1:24">
      <c r="A21" s="909" t="s">
        <v>544</v>
      </c>
      <c r="B21" s="911">
        <v>0.28000000000000003</v>
      </c>
      <c r="C21" s="911">
        <v>0.22</v>
      </c>
      <c r="D21" s="911">
        <v>0.16500000000000001</v>
      </c>
      <c r="E21" s="911">
        <v>0.28000000000000003</v>
      </c>
      <c r="F21" s="564"/>
    </row>
    <row r="22" spans="1:24">
      <c r="A22" s="639" t="s">
        <v>668</v>
      </c>
      <c r="B22" s="564">
        <f>(B36*Feed_Composition!$G9)+(B37*Feed_Composition!$G6)+(B38*Feed_Composition!$G27)+(B39*Feed_Composition!$G28)+(B40*Feed_Composition!$G26)+(B41*Feed_Composition!$G15)+(B42*Feed_Composition!$G7)+(B44*Feed_Composition!$G28)</f>
        <v>0.25777163240000001</v>
      </c>
      <c r="C22" s="564">
        <f>(C36*Feed_Composition!$G9)+(C37*Feed_Composition!$G6)+(C38*Feed_Composition!$G27)+(C39*Feed_Composition!$G28)+(C40*Feed_Composition!$G26)+(C41*Feed_Composition!$G15)+(C42*Feed_Composition!$G7)+(C44*Feed_Composition!$G28)</f>
        <v>0.48395884251428567</v>
      </c>
      <c r="D22" s="564">
        <f>(D36*Feed_Composition!$G9)+(D37*Feed_Composition!$G6)+(D38*Feed_Composition!$G27)+(D39*Feed_Composition!$G28)+(D40*Feed_Composition!$G26)+(D41*Feed_Composition!$G15)+(D42*Feed_Composition!$G7)+(D44*Feed_Composition!$G28)</f>
        <v>0.32518043600000002</v>
      </c>
      <c r="E22" s="564">
        <f>(E36*Feed_Composition!$G9)+(E37*Feed_Composition!$G6)+(E38*Feed_Composition!$G27)+(E39*Feed_Composition!$G28)+(E40*Feed_Composition!$G26)+(E41*Feed_Composition!$G15)+(E42*Feed_Composition!$G7)+(E44*Feed_Composition!$G28)</f>
        <v>7.2958975999999995E-2</v>
      </c>
      <c r="F22" s="564"/>
      <c r="G22" s="564"/>
    </row>
    <row r="23" spans="1:24">
      <c r="A23" s="635" t="s">
        <v>290</v>
      </c>
      <c r="B23" s="566">
        <f>(B22/17)/B8</f>
        <v>0.21794919999999998</v>
      </c>
      <c r="C23" s="566">
        <f>(C22/16)/C8</f>
        <v>0.22055415999999997</v>
      </c>
      <c r="D23" s="566">
        <f>(D22/10)/D8</f>
        <v>0.19949720000000001</v>
      </c>
      <c r="E23" s="566">
        <f>(E22/2)/E8</f>
        <v>0.19949719999999999</v>
      </c>
      <c r="F23" s="564"/>
      <c r="G23" s="623"/>
    </row>
    <row r="24" spans="1:24">
      <c r="F24" s="564"/>
    </row>
    <row r="25" spans="1:24">
      <c r="A25" s="164" t="s">
        <v>549</v>
      </c>
      <c r="B25" s="603">
        <f>SUM(B26:B34)</f>
        <v>1</v>
      </c>
      <c r="C25" s="603">
        <f t="shared" ref="C25:E25" si="5">SUM(C26:C34)</f>
        <v>1</v>
      </c>
      <c r="D25" s="603">
        <f t="shared" si="5"/>
        <v>1</v>
      </c>
      <c r="E25" s="603">
        <f t="shared" si="5"/>
        <v>1</v>
      </c>
      <c r="F25" s="564"/>
    </row>
    <row r="26" spans="1:24">
      <c r="A26" t="s">
        <v>363</v>
      </c>
      <c r="B26" s="603">
        <v>0.6</v>
      </c>
      <c r="C26" s="603">
        <v>0.56000000000000005</v>
      </c>
      <c r="D26" s="603">
        <v>0.6</v>
      </c>
      <c r="E26" s="603">
        <v>0.6</v>
      </c>
      <c r="F26" s="564"/>
    </row>
    <row r="27" spans="1:24">
      <c r="A27" t="s">
        <v>531</v>
      </c>
      <c r="B27" s="603">
        <v>0.35</v>
      </c>
      <c r="C27" s="603">
        <v>0.25</v>
      </c>
      <c r="D27" s="603">
        <v>0.2</v>
      </c>
      <c r="E27" s="603">
        <v>0.2</v>
      </c>
      <c r="F27" s="564"/>
    </row>
    <row r="28" spans="1:24">
      <c r="A28" t="s">
        <v>542</v>
      </c>
      <c r="B28" s="603">
        <v>0</v>
      </c>
      <c r="C28" s="603">
        <v>0.03</v>
      </c>
      <c r="D28" s="603">
        <v>0.03</v>
      </c>
      <c r="E28" s="603">
        <v>0.03</v>
      </c>
      <c r="F28" s="564"/>
    </row>
    <row r="29" spans="1:24">
      <c r="A29" t="s">
        <v>534</v>
      </c>
      <c r="B29" s="603">
        <v>0.03</v>
      </c>
      <c r="C29" s="603">
        <v>0</v>
      </c>
      <c r="D29" s="603">
        <v>0</v>
      </c>
      <c r="E29" s="603">
        <v>0</v>
      </c>
      <c r="F29" s="564"/>
    </row>
    <row r="30" spans="1:24">
      <c r="A30" t="s">
        <v>532</v>
      </c>
      <c r="B30" s="603">
        <v>0</v>
      </c>
      <c r="C30" s="603">
        <v>0.05</v>
      </c>
      <c r="D30" s="603">
        <v>0.05</v>
      </c>
      <c r="E30" s="603">
        <v>0.05</v>
      </c>
      <c r="F30" s="564"/>
      <c r="I30" s="745"/>
      <c r="J30" s="745"/>
      <c r="K30" s="745"/>
      <c r="L30" s="745"/>
      <c r="M30" s="745"/>
      <c r="N30" s="745"/>
      <c r="O30" s="745"/>
      <c r="P30" s="745"/>
      <c r="Q30" s="745"/>
      <c r="R30" s="745"/>
      <c r="S30" s="745"/>
      <c r="T30" s="745"/>
      <c r="U30" s="745"/>
      <c r="V30" s="745"/>
      <c r="W30" s="745"/>
      <c r="X30" s="8"/>
    </row>
    <row r="31" spans="1:24">
      <c r="A31" t="s">
        <v>234</v>
      </c>
      <c r="B31" s="603">
        <v>0</v>
      </c>
      <c r="C31" s="603">
        <v>0.1</v>
      </c>
      <c r="D31" s="603">
        <v>0.1</v>
      </c>
      <c r="E31" s="603">
        <v>0.1</v>
      </c>
      <c r="F31" s="564"/>
      <c r="I31" s="746"/>
      <c r="J31" s="318"/>
      <c r="K31" s="318"/>
      <c r="L31" s="318"/>
      <c r="M31" s="318"/>
      <c r="N31" s="746"/>
      <c r="O31" s="746"/>
      <c r="P31" s="746"/>
      <c r="Q31" s="746"/>
      <c r="R31" s="746"/>
      <c r="S31" s="746"/>
      <c r="T31" s="746"/>
      <c r="U31" s="318"/>
      <c r="V31" s="208"/>
      <c r="W31" s="208"/>
      <c r="X31" s="8"/>
    </row>
    <row r="32" spans="1:24">
      <c r="A32" t="s">
        <v>533</v>
      </c>
      <c r="B32" s="603">
        <v>2E-3</v>
      </c>
      <c r="C32" s="603">
        <v>0</v>
      </c>
      <c r="D32" s="603">
        <v>0</v>
      </c>
      <c r="E32" s="603">
        <v>0</v>
      </c>
      <c r="F32" s="564"/>
      <c r="I32" s="8"/>
      <c r="J32" s="8"/>
      <c r="K32" s="8"/>
      <c r="L32" s="8"/>
      <c r="M32" s="8"/>
      <c r="N32" s="8"/>
      <c r="O32" s="8"/>
      <c r="P32" s="8"/>
      <c r="Q32" s="8"/>
      <c r="R32" s="8"/>
      <c r="S32" s="599"/>
      <c r="T32" s="8"/>
      <c r="U32" s="8"/>
      <c r="V32" s="8"/>
      <c r="W32" s="8"/>
      <c r="X32" s="8"/>
    </row>
    <row r="33" spans="1:24">
      <c r="A33" t="s">
        <v>606</v>
      </c>
      <c r="B33" s="603">
        <v>0</v>
      </c>
      <c r="C33" s="603">
        <v>1E-4</v>
      </c>
      <c r="D33" s="603">
        <v>1E-4</v>
      </c>
      <c r="E33" s="603">
        <v>1E-4</v>
      </c>
      <c r="F33" s="564"/>
      <c r="I33" s="599"/>
      <c r="J33" s="8"/>
      <c r="K33" s="8"/>
      <c r="L33" s="8"/>
      <c r="M33" s="8"/>
      <c r="N33" s="8"/>
      <c r="O33" s="596"/>
      <c r="P33" s="8"/>
      <c r="Q33" s="620"/>
      <c r="R33" s="781"/>
      <c r="S33" s="599"/>
      <c r="T33" s="599"/>
      <c r="U33" s="599"/>
      <c r="V33" s="596"/>
      <c r="W33" s="596"/>
      <c r="X33" s="8"/>
    </row>
    <row r="34" spans="1:24">
      <c r="A34" t="s">
        <v>231</v>
      </c>
      <c r="B34" s="603">
        <f t="shared" ref="B34" si="6">1-(B26+B27+B28+B29+B30+B31+B32)</f>
        <v>1.8000000000000016E-2</v>
      </c>
      <c r="C34" s="603">
        <f>1-(C26+C27+C28+C29+C30+C31+C32+C33)</f>
        <v>9.8999999999999089E-3</v>
      </c>
      <c r="D34" s="603">
        <f>1-(D26+D27+D28+D29+D30+D31+D32+D33)</f>
        <v>1.9899999999999918E-2</v>
      </c>
      <c r="E34" s="603">
        <f>1-(E26+E27+E28+E29+E30+E31+E32+E33)</f>
        <v>1.9899999999999918E-2</v>
      </c>
      <c r="F34" s="564"/>
      <c r="I34" s="599"/>
      <c r="J34" s="8"/>
      <c r="K34" s="8"/>
      <c r="L34" s="8"/>
      <c r="M34" s="8"/>
      <c r="N34" s="8"/>
      <c r="O34" s="596"/>
      <c r="P34" s="8"/>
      <c r="Q34" s="8"/>
      <c r="R34" s="8"/>
      <c r="S34" s="599"/>
      <c r="T34" s="8"/>
      <c r="U34" s="8"/>
      <c r="V34" s="596"/>
      <c r="W34" s="596"/>
      <c r="X34" s="8"/>
    </row>
    <row r="35" spans="1:24">
      <c r="A35" s="164" t="s">
        <v>726</v>
      </c>
      <c r="B35" s="673"/>
      <c r="C35" s="673"/>
      <c r="D35" s="673"/>
      <c r="E35" s="673"/>
      <c r="F35" s="564"/>
      <c r="I35" s="599"/>
      <c r="J35" s="8"/>
      <c r="K35" s="8"/>
      <c r="L35" s="8"/>
      <c r="M35" s="8"/>
      <c r="N35" s="8"/>
      <c r="O35" s="596"/>
      <c r="P35" s="8"/>
      <c r="Q35" s="8"/>
      <c r="R35" s="8"/>
      <c r="S35" s="599"/>
      <c r="T35" s="8"/>
      <c r="U35" s="8"/>
      <c r="V35" s="596"/>
      <c r="W35" s="596"/>
      <c r="X35" s="8"/>
    </row>
    <row r="36" spans="1:24">
      <c r="A36" t="s">
        <v>363</v>
      </c>
      <c r="B36" s="564">
        <f>B26*B$8*17*Feed_Composition!D9</f>
        <v>0.62518277142857137</v>
      </c>
      <c r="C36" s="564">
        <f>C26*C$8*16*Feed_Composition!D9</f>
        <v>1.0825727999999999</v>
      </c>
      <c r="D36" s="564">
        <f>D26*D$8*10*Feed_Composition!D9</f>
        <v>0.86161799999999988</v>
      </c>
      <c r="E36" s="564">
        <f>E26*E$8*2*Feed_Composition!D9</f>
        <v>0.19331657142857139</v>
      </c>
      <c r="F36" s="564"/>
      <c r="I36" s="599"/>
      <c r="J36" s="8"/>
      <c r="K36" s="8"/>
      <c r="L36" s="8"/>
      <c r="M36" s="8"/>
      <c r="N36" s="8"/>
      <c r="O36" s="596"/>
      <c r="P36" s="8"/>
      <c r="Q36" s="8"/>
      <c r="R36" s="8"/>
      <c r="S36" s="599"/>
      <c r="T36" s="8"/>
      <c r="U36" s="8"/>
      <c r="V36" s="596"/>
      <c r="W36" s="596"/>
      <c r="X36" s="8"/>
    </row>
    <row r="37" spans="1:24">
      <c r="A37" t="s">
        <v>531</v>
      </c>
      <c r="B37" s="564">
        <f>B27*B$8*17*Feed_Composition!D15</f>
        <v>0.37338290000000002</v>
      </c>
      <c r="C37" s="564">
        <f>C27*C$8*16*Feed_Composition!D15</f>
        <v>0.49481142857142862</v>
      </c>
      <c r="D37" s="564">
        <f>D27*D$8*10*Feed_Composition!D15</f>
        <v>0.29405200000000009</v>
      </c>
      <c r="E37" s="564">
        <f>E27*E$8*2*Feed_Composition!D15</f>
        <v>6.5974857142857155E-2</v>
      </c>
      <c r="F37" s="564"/>
      <c r="I37" s="599"/>
      <c r="J37" s="8"/>
      <c r="K37" s="8"/>
      <c r="L37" s="8"/>
      <c r="M37" s="8"/>
      <c r="N37" s="8"/>
      <c r="O37" s="596"/>
      <c r="P37" s="8"/>
      <c r="Q37" s="8"/>
      <c r="R37" s="8"/>
      <c r="S37" s="599"/>
      <c r="T37" s="8"/>
      <c r="U37" s="8"/>
      <c r="V37" s="596"/>
      <c r="W37" s="596"/>
      <c r="X37" s="8"/>
    </row>
    <row r="38" spans="1:24">
      <c r="A38" t="s">
        <v>542</v>
      </c>
      <c r="B38" s="564">
        <f>B28*B$8*17</f>
        <v>0</v>
      </c>
      <c r="C38" s="564">
        <f>C28*C$8*16</f>
        <v>6.5828571428571431E-2</v>
      </c>
      <c r="D38" s="564">
        <f>D28*D$8*10</f>
        <v>4.8899999999999999E-2</v>
      </c>
      <c r="E38" s="564">
        <f>E28*E$8*2</f>
        <v>1.0971428571428571E-2</v>
      </c>
      <c r="F38" s="564"/>
      <c r="I38" s="599"/>
      <c r="J38" s="8"/>
      <c r="K38" s="8"/>
      <c r="L38" s="8"/>
      <c r="M38" s="8"/>
      <c r="N38" s="8"/>
      <c r="O38" s="596"/>
      <c r="P38" s="8"/>
      <c r="Q38" s="620"/>
      <c r="R38" s="781"/>
      <c r="S38" s="599"/>
      <c r="T38" s="599"/>
      <c r="U38" s="599"/>
      <c r="V38" s="596"/>
      <c r="W38" s="596"/>
      <c r="X38" s="8"/>
    </row>
    <row r="39" spans="1:24">
      <c r="A39" t="s">
        <v>534</v>
      </c>
      <c r="B39" s="564">
        <f>B29*B$8*17</f>
        <v>3.5481428571428573E-2</v>
      </c>
      <c r="C39" s="564">
        <f>C29*C$8*16</f>
        <v>0</v>
      </c>
      <c r="D39" s="564">
        <f>D29*D$8*10</f>
        <v>0</v>
      </c>
      <c r="E39" s="564">
        <f>E29*E$8*2</f>
        <v>0</v>
      </c>
      <c r="F39" s="564"/>
      <c r="I39" s="599"/>
      <c r="J39" s="8"/>
      <c r="K39" s="8"/>
      <c r="L39" s="8"/>
      <c r="M39" s="8"/>
      <c r="N39" s="8"/>
      <c r="O39" s="596"/>
      <c r="P39" s="8"/>
      <c r="Q39" s="620"/>
      <c r="R39" s="781"/>
      <c r="S39" s="599"/>
      <c r="T39" s="599"/>
      <c r="U39" s="599"/>
      <c r="V39" s="596"/>
      <c r="W39" s="596"/>
      <c r="X39" s="8"/>
    </row>
    <row r="40" spans="1:24">
      <c r="A40" t="s">
        <v>532</v>
      </c>
      <c r="B40" s="564">
        <f>B30*B$8*17*Feed_Composition!D26</f>
        <v>0</v>
      </c>
      <c r="C40" s="564">
        <f>C30*C$8*16*Feed_Composition!D26</f>
        <v>0.10422857142857143</v>
      </c>
      <c r="D40" s="564">
        <f>D30*D$8*10*Feed_Composition!D26</f>
        <v>7.7425000000000008E-2</v>
      </c>
      <c r="E40" s="564">
        <f>E30*E$8*2*Feed_Composition!D26</f>
        <v>1.7371428571428572E-2</v>
      </c>
      <c r="F40" s="564"/>
      <c r="H40" s="863"/>
      <c r="I40" s="599"/>
      <c r="J40" s="8"/>
      <c r="K40" s="8"/>
      <c r="L40" s="8"/>
      <c r="M40" s="8"/>
      <c r="N40" s="8"/>
      <c r="O40" s="596"/>
      <c r="P40" s="8"/>
      <c r="Q40" s="620"/>
      <c r="R40" s="781"/>
      <c r="S40" s="599"/>
      <c r="T40" s="599"/>
      <c r="U40" s="599"/>
      <c r="V40" s="596"/>
      <c r="W40" s="596"/>
      <c r="X40" s="8"/>
    </row>
    <row r="41" spans="1:24">
      <c r="A41" t="s">
        <v>234</v>
      </c>
      <c r="B41" s="564">
        <f>B31*B$8*17*Feed_Composition!D15</f>
        <v>0</v>
      </c>
      <c r="C41" s="564">
        <f>C31*C$8*16*Feed_Composition!D15</f>
        <v>0.19792457142857145</v>
      </c>
      <c r="D41" s="564">
        <f>D31*D$8*10*Feed_Composition!D15</f>
        <v>0.14702600000000005</v>
      </c>
      <c r="E41" s="564">
        <f>E31*E$8*2*Feed_Composition!D15</f>
        <v>3.2987428571428577E-2</v>
      </c>
      <c r="F41" s="564"/>
      <c r="H41" s="682"/>
      <c r="I41" s="599"/>
      <c r="J41" s="8"/>
      <c r="K41" s="8"/>
      <c r="L41" s="8"/>
      <c r="M41" s="8"/>
      <c r="N41" s="8"/>
      <c r="O41" s="596"/>
      <c r="P41" s="866"/>
      <c r="Q41" s="8"/>
      <c r="R41" s="8"/>
      <c r="S41" s="599"/>
      <c r="T41" s="8"/>
      <c r="U41" s="8"/>
      <c r="V41" s="596"/>
      <c r="W41" s="596"/>
      <c r="X41" s="8"/>
    </row>
    <row r="42" spans="1:24">
      <c r="A42" t="s">
        <v>533</v>
      </c>
      <c r="B42" s="564">
        <f>B32*B$8*17</f>
        <v>2.3654285714285717E-3</v>
      </c>
      <c r="C42" s="564">
        <f>C32*C$8*16</f>
        <v>0</v>
      </c>
      <c r="D42" s="564">
        <f>D32*D$8*10</f>
        <v>0</v>
      </c>
      <c r="E42" s="564">
        <f>E32*E$8*2</f>
        <v>0</v>
      </c>
      <c r="F42" s="564"/>
      <c r="H42" s="863"/>
      <c r="I42" s="599"/>
      <c r="J42" s="8"/>
      <c r="K42" s="8"/>
      <c r="L42" s="8"/>
      <c r="M42" s="8"/>
      <c r="N42" s="8"/>
      <c r="O42" s="596"/>
      <c r="P42" s="866"/>
      <c r="Q42" s="8"/>
      <c r="R42" s="8"/>
      <c r="S42" s="8"/>
      <c r="T42" s="8"/>
      <c r="U42" s="8"/>
      <c r="V42" s="596"/>
      <c r="W42" s="596"/>
      <c r="X42" s="8"/>
    </row>
    <row r="43" spans="1:24">
      <c r="A43" t="s">
        <v>606</v>
      </c>
      <c r="B43" s="564">
        <f>B33*B$8*17</f>
        <v>0</v>
      </c>
      <c r="C43" s="564">
        <f>C33*C$8*16</f>
        <v>2.1942857142857145E-4</v>
      </c>
      <c r="D43" s="564">
        <f>D33*D$8*10</f>
        <v>1.63E-4</v>
      </c>
      <c r="E43" s="564">
        <f>E33*E$8*2</f>
        <v>3.6571428571428576E-5</v>
      </c>
      <c r="F43" s="564"/>
      <c r="H43" s="682"/>
      <c r="I43" s="782"/>
      <c r="J43" s="8"/>
      <c r="K43" s="8"/>
      <c r="L43" s="8"/>
      <c r="M43" s="8"/>
      <c r="N43" s="8"/>
      <c r="O43" s="8"/>
      <c r="P43" s="8"/>
      <c r="Q43" s="8"/>
      <c r="R43" s="8"/>
      <c r="S43" s="8"/>
      <c r="T43" s="8"/>
      <c r="U43" s="8"/>
      <c r="V43" s="8"/>
      <c r="W43" s="8"/>
      <c r="X43" s="8"/>
    </row>
    <row r="44" spans="1:24">
      <c r="A44" t="s">
        <v>231</v>
      </c>
      <c r="B44" s="564">
        <f>B34*B$8*17</f>
        <v>2.1288857142857165E-2</v>
      </c>
      <c r="C44" s="564">
        <f>C34*C$8*16</f>
        <v>2.1723428571428373E-2</v>
      </c>
      <c r="D44" s="564">
        <f>D34*D$8*10</f>
        <v>3.2436999999999869E-2</v>
      </c>
      <c r="E44" s="564">
        <f>E34*E$8*2</f>
        <v>7.2777142857142554E-3</v>
      </c>
      <c r="F44" s="564"/>
      <c r="H44" s="865"/>
      <c r="I44" s="8"/>
      <c r="J44" s="8"/>
      <c r="K44" s="8"/>
      <c r="L44" s="8"/>
      <c r="M44" s="8"/>
      <c r="N44" s="8"/>
      <c r="O44" s="8"/>
      <c r="P44" s="8"/>
      <c r="Q44" s="8"/>
      <c r="R44" s="8"/>
      <c r="S44" s="8"/>
      <c r="T44" s="8"/>
      <c r="U44" s="8"/>
      <c r="V44" s="8"/>
      <c r="W44" s="8"/>
      <c r="X44" s="8"/>
    </row>
    <row r="45" spans="1:24">
      <c r="A45" s="648"/>
      <c r="B45" s="164"/>
      <c r="C45" s="164"/>
      <c r="D45" s="164"/>
      <c r="E45" s="164"/>
      <c r="F45" s="564"/>
      <c r="G45" s="164"/>
      <c r="H45" s="8"/>
      <c r="I45" s="8"/>
      <c r="J45" s="8"/>
      <c r="K45" s="8"/>
      <c r="L45" s="8"/>
      <c r="M45" s="8"/>
      <c r="N45" s="8"/>
      <c r="O45" s="8"/>
      <c r="P45" s="8"/>
      <c r="Q45" s="8"/>
      <c r="R45" s="8"/>
      <c r="S45" s="8"/>
      <c r="T45" s="8"/>
      <c r="U45" s="8"/>
      <c r="V45" s="8"/>
      <c r="W45" s="8"/>
      <c r="X45" s="8"/>
    </row>
    <row r="46" spans="1:24" ht="15" thickBot="1">
      <c r="A46" s="318" t="s">
        <v>554</v>
      </c>
      <c r="H46" s="8"/>
      <c r="I46" s="8"/>
      <c r="J46" s="8"/>
      <c r="K46" s="8"/>
      <c r="L46" s="8"/>
      <c r="M46" s="8"/>
      <c r="N46" s="8"/>
      <c r="O46" s="8"/>
      <c r="P46" s="8"/>
      <c r="Q46" s="8"/>
      <c r="R46" s="8"/>
      <c r="S46" s="8"/>
      <c r="T46" s="8"/>
      <c r="U46" s="8"/>
      <c r="V46" s="8"/>
      <c r="W46" s="8"/>
      <c r="X46" s="8"/>
    </row>
    <row r="47" spans="1:24" ht="15" customHeight="1">
      <c r="A47" s="914"/>
      <c r="B47" s="871" t="s">
        <v>599</v>
      </c>
      <c r="C47" s="643" t="s">
        <v>600</v>
      </c>
      <c r="D47" s="643" t="s">
        <v>225</v>
      </c>
      <c r="E47" s="873" t="s">
        <v>601</v>
      </c>
      <c r="F47" s="1312" t="s">
        <v>356</v>
      </c>
      <c r="G47" s="1299" t="s">
        <v>378</v>
      </c>
      <c r="H47" s="865"/>
      <c r="I47" s="8"/>
      <c r="J47" s="8"/>
      <c r="K47" s="8"/>
      <c r="L47" s="8"/>
      <c r="M47" s="8"/>
      <c r="N47" s="8"/>
      <c r="O47" s="8"/>
      <c r="P47" s="8"/>
      <c r="Q47" s="8"/>
      <c r="R47" s="8"/>
      <c r="S47" s="8"/>
      <c r="T47" s="8"/>
      <c r="U47" s="8"/>
      <c r="V47" s="8"/>
      <c r="W47" s="8"/>
      <c r="X47" s="8"/>
    </row>
    <row r="48" spans="1:24" ht="15" thickBot="1">
      <c r="A48" s="913" t="s">
        <v>276</v>
      </c>
      <c r="B48" s="872">
        <f>BroilerFlock!B6</f>
        <v>47632016.632016636</v>
      </c>
      <c r="C48" s="640">
        <f>D48</f>
        <v>45822000</v>
      </c>
      <c r="D48" s="640">
        <f>BroilerFlock!B8</f>
        <v>45822000</v>
      </c>
      <c r="E48" s="874">
        <f>D48</f>
        <v>45822000</v>
      </c>
      <c r="F48" s="1313"/>
      <c r="G48" s="1300"/>
      <c r="H48" s="865"/>
      <c r="I48" s="8"/>
      <c r="J48" s="8"/>
      <c r="K48" s="8"/>
      <c r="L48" s="8"/>
      <c r="M48" s="8"/>
      <c r="N48" s="8"/>
      <c r="O48" s="8"/>
      <c r="P48" s="8"/>
      <c r="Q48" s="8"/>
      <c r="R48" s="8"/>
      <c r="S48" s="8"/>
      <c r="T48" s="8"/>
      <c r="U48" s="8"/>
      <c r="V48" s="8"/>
      <c r="W48" s="8"/>
      <c r="X48" s="8"/>
    </row>
    <row r="49" spans="1:24" ht="15" thickBot="1">
      <c r="A49" s="913"/>
      <c r="B49" s="1314" t="s">
        <v>480</v>
      </c>
      <c r="C49" s="1315"/>
      <c r="D49" s="1315"/>
      <c r="E49" s="1315"/>
      <c r="F49" s="649" t="s">
        <v>353</v>
      </c>
      <c r="G49" s="649" t="s">
        <v>184</v>
      </c>
      <c r="H49" s="865"/>
      <c r="I49" s="8"/>
      <c r="J49" s="8"/>
      <c r="K49" s="8"/>
      <c r="L49" s="8"/>
      <c r="M49" s="8"/>
      <c r="N49" s="8"/>
      <c r="O49" s="8"/>
      <c r="P49" s="8"/>
      <c r="Q49" s="8"/>
      <c r="R49" s="8"/>
      <c r="S49" s="8"/>
      <c r="T49" s="8"/>
      <c r="U49" s="8"/>
      <c r="V49" s="8"/>
      <c r="W49" s="8"/>
      <c r="X49" s="8"/>
    </row>
    <row r="50" spans="1:24">
      <c r="A50" s="913" t="s">
        <v>478</v>
      </c>
      <c r="B50" s="8"/>
      <c r="C50" s="8"/>
      <c r="D50" s="8"/>
      <c r="E50" s="8"/>
      <c r="F50" s="12"/>
      <c r="G50" s="14"/>
      <c r="H50" s="865"/>
      <c r="I50" s="8"/>
      <c r="J50" s="8"/>
      <c r="K50" s="8"/>
      <c r="L50" s="8"/>
      <c r="M50" s="8"/>
      <c r="N50" s="8"/>
      <c r="O50" s="8"/>
      <c r="P50" s="8"/>
      <c r="Q50" s="8"/>
      <c r="R50" s="8"/>
      <c r="S50" s="8"/>
      <c r="T50" s="8"/>
      <c r="U50" s="8"/>
      <c r="V50" s="8"/>
      <c r="W50" s="8"/>
      <c r="X50" s="8"/>
    </row>
    <row r="51" spans="1:24">
      <c r="A51" s="683" t="s">
        <v>363</v>
      </c>
      <c r="B51" s="599">
        <f t="shared" ref="B51:B59" si="7">B$48*B36</f>
        <v>29778716.166735966</v>
      </c>
      <c r="C51" s="599">
        <f t="shared" ref="C51:E51" si="8">C$48*C36</f>
        <v>49605650.841599993</v>
      </c>
      <c r="D51" s="599">
        <f t="shared" si="8"/>
        <v>39481059.995999992</v>
      </c>
      <c r="E51" s="599">
        <f t="shared" si="8"/>
        <v>8858151.9359999988</v>
      </c>
      <c r="F51" s="602">
        <f t="shared" ref="F51:F59" si="9">SUM(B51:E51)/907.18474</f>
        <v>140791.14573767627</v>
      </c>
      <c r="G51" s="621">
        <f>F51*Feed_Composition!E9*2000</f>
        <v>844746.87442605756</v>
      </c>
      <c r="H51" s="865"/>
      <c r="I51" s="8"/>
      <c r="J51" s="8"/>
      <c r="K51" s="8"/>
      <c r="L51" s="8"/>
      <c r="M51" s="8"/>
      <c r="N51" s="8"/>
      <c r="O51" s="8"/>
      <c r="P51" s="8"/>
      <c r="Q51" s="8"/>
      <c r="R51" s="8"/>
      <c r="S51" s="8"/>
      <c r="T51" s="8"/>
      <c r="U51" s="8"/>
      <c r="V51" s="8"/>
      <c r="W51" s="8"/>
      <c r="X51" s="8"/>
    </row>
    <row r="52" spans="1:24">
      <c r="A52" s="683" t="s">
        <v>531</v>
      </c>
      <c r="B52" s="599">
        <f t="shared" si="7"/>
        <v>17784980.502910607</v>
      </c>
      <c r="C52" s="599">
        <f t="shared" ref="C52:E59" si="10">C$48*C37</f>
        <v>22673249.280000001</v>
      </c>
      <c r="D52" s="599">
        <f t="shared" si="10"/>
        <v>13474050.744000005</v>
      </c>
      <c r="E52" s="599">
        <f t="shared" si="10"/>
        <v>3023099.9040000006</v>
      </c>
      <c r="F52" s="602">
        <f t="shared" si="9"/>
        <v>62782.560066994301</v>
      </c>
      <c r="G52" s="621">
        <f>F52*Feed_Composition!E6*2000</f>
        <v>878955.84093792026</v>
      </c>
      <c r="H52" s="865"/>
      <c r="I52" s="8"/>
      <c r="J52" s="8"/>
      <c r="K52" s="8"/>
      <c r="L52" s="8"/>
      <c r="M52" s="8"/>
      <c r="N52" s="8"/>
      <c r="O52" s="8"/>
      <c r="P52" s="8"/>
      <c r="Q52" s="8"/>
      <c r="R52" s="8"/>
      <c r="S52" s="8"/>
      <c r="T52" s="8"/>
      <c r="U52" s="8"/>
      <c r="V52" s="8"/>
      <c r="W52" s="8"/>
      <c r="X52" s="8"/>
    </row>
    <row r="53" spans="1:24">
      <c r="A53" s="683" t="s">
        <v>542</v>
      </c>
      <c r="B53" s="599">
        <f t="shared" si="7"/>
        <v>0</v>
      </c>
      <c r="C53" s="599">
        <f t="shared" si="10"/>
        <v>3016396.8000000003</v>
      </c>
      <c r="D53" s="599">
        <f t="shared" si="10"/>
        <v>2240695.7999999998</v>
      </c>
      <c r="E53" s="599">
        <f t="shared" si="10"/>
        <v>502732.79999999999</v>
      </c>
      <c r="F53" s="602">
        <f t="shared" si="9"/>
        <v>6349.1206873695864</v>
      </c>
      <c r="G53" s="621">
        <f>F53*2000*Feed_Composition!E22</f>
        <v>0</v>
      </c>
      <c r="H53" s="865"/>
      <c r="I53" s="8"/>
      <c r="J53" s="8"/>
      <c r="K53" s="8"/>
      <c r="L53" s="8"/>
      <c r="M53" s="8"/>
      <c r="N53" s="8"/>
      <c r="O53" s="8"/>
      <c r="P53" s="8"/>
      <c r="Q53" s="8"/>
      <c r="R53" s="8"/>
      <c r="S53" s="8"/>
      <c r="T53" s="8"/>
      <c r="U53" s="8"/>
      <c r="V53" s="8"/>
      <c r="W53" s="8"/>
      <c r="X53" s="8"/>
    </row>
    <row r="54" spans="1:24">
      <c r="A54" s="683" t="s">
        <v>534</v>
      </c>
      <c r="B54" s="599">
        <f t="shared" si="7"/>
        <v>1690051.995841996</v>
      </c>
      <c r="C54" s="599">
        <f t="shared" si="10"/>
        <v>0</v>
      </c>
      <c r="D54" s="599">
        <f t="shared" si="10"/>
        <v>0</v>
      </c>
      <c r="E54" s="599">
        <f t="shared" si="10"/>
        <v>0</v>
      </c>
      <c r="F54" s="602">
        <f t="shared" si="9"/>
        <v>1862.9634310669687</v>
      </c>
      <c r="G54" s="621">
        <f>F54*Feed_Composition!E12*2000</f>
        <v>0</v>
      </c>
      <c r="H54" s="8"/>
      <c r="I54" s="8"/>
      <c r="J54" s="8"/>
      <c r="K54" s="8"/>
      <c r="L54" s="8"/>
      <c r="M54" s="8"/>
      <c r="N54" s="8"/>
      <c r="O54" s="8"/>
      <c r="P54" s="8"/>
      <c r="Q54" s="8"/>
      <c r="R54" s="8"/>
      <c r="S54" s="8"/>
      <c r="T54" s="8"/>
      <c r="U54" s="8"/>
      <c r="V54" s="8"/>
      <c r="W54" s="8"/>
      <c r="X54" s="8"/>
    </row>
    <row r="55" spans="1:24">
      <c r="A55" s="683" t="s">
        <v>532</v>
      </c>
      <c r="B55" s="599">
        <f t="shared" si="7"/>
        <v>0</v>
      </c>
      <c r="C55" s="599">
        <f t="shared" si="10"/>
        <v>4775961.6000000006</v>
      </c>
      <c r="D55" s="599">
        <f t="shared" si="10"/>
        <v>3547768.3500000006</v>
      </c>
      <c r="E55" s="599">
        <f t="shared" si="10"/>
        <v>795993.60000000009</v>
      </c>
      <c r="F55" s="602">
        <f t="shared" si="9"/>
        <v>10052.774421668513</v>
      </c>
      <c r="G55" s="621">
        <f>F55*Feed_Composition!E26*2000</f>
        <v>804221.95373348112</v>
      </c>
      <c r="H55" s="865"/>
      <c r="I55" s="8"/>
      <c r="J55" s="8"/>
      <c r="K55" s="8"/>
      <c r="L55" s="8"/>
      <c r="M55" s="8"/>
      <c r="N55" s="8"/>
      <c r="O55" s="8"/>
      <c r="P55" s="8"/>
      <c r="Q55" s="8"/>
      <c r="R55" s="8"/>
      <c r="S55" s="8"/>
      <c r="T55" s="8"/>
      <c r="U55" s="8"/>
      <c r="V55" s="8"/>
      <c r="W55" s="8"/>
      <c r="X55" s="8"/>
    </row>
    <row r="56" spans="1:24">
      <c r="A56" s="683" t="s">
        <v>234</v>
      </c>
      <c r="B56" s="599">
        <f t="shared" si="7"/>
        <v>0</v>
      </c>
      <c r="C56" s="599">
        <f t="shared" si="10"/>
        <v>9069299.7120000012</v>
      </c>
      <c r="D56" s="599">
        <f t="shared" si="10"/>
        <v>6737025.3720000023</v>
      </c>
      <c r="E56" s="599">
        <f t="shared" si="10"/>
        <v>1511549.9520000003</v>
      </c>
      <c r="F56" s="602">
        <f t="shared" si="9"/>
        <v>19089.689533357894</v>
      </c>
      <c r="G56" s="621">
        <f>F56*Feed_Composition!E15*2000</f>
        <v>316888.84625374107</v>
      </c>
      <c r="H56" s="865"/>
      <c r="I56" s="8"/>
      <c r="J56" s="8"/>
      <c r="K56" s="8"/>
      <c r="L56" s="8"/>
      <c r="M56" s="8"/>
      <c r="N56" s="8"/>
      <c r="O56" s="8"/>
      <c r="P56" s="8"/>
      <c r="Q56" s="8"/>
      <c r="R56" s="8"/>
      <c r="S56" s="8"/>
      <c r="T56" s="8"/>
      <c r="U56" s="8"/>
      <c r="V56" s="8"/>
      <c r="W56" s="8"/>
      <c r="X56" s="8"/>
    </row>
    <row r="57" spans="1:24">
      <c r="A57" s="683" t="s">
        <v>533</v>
      </c>
      <c r="B57" s="599">
        <f t="shared" si="7"/>
        <v>112670.13305613308</v>
      </c>
      <c r="C57" s="599">
        <f t="shared" si="10"/>
        <v>0</v>
      </c>
      <c r="D57" s="599">
        <f t="shared" si="10"/>
        <v>0</v>
      </c>
      <c r="E57" s="599">
        <f t="shared" si="10"/>
        <v>0</v>
      </c>
      <c r="F57" s="602">
        <f t="shared" si="9"/>
        <v>124.19756207113127</v>
      </c>
      <c r="G57" s="621">
        <f>F57*Feed_Composition!E7*2000</f>
        <v>47940.258959456667</v>
      </c>
      <c r="H57" s="865"/>
      <c r="I57" s="8"/>
    </row>
    <row r="58" spans="1:24">
      <c r="A58" s="683" t="s">
        <v>606</v>
      </c>
      <c r="B58" s="599">
        <f t="shared" si="7"/>
        <v>0</v>
      </c>
      <c r="C58" s="599">
        <f t="shared" si="10"/>
        <v>10054.656000000001</v>
      </c>
      <c r="D58" s="599">
        <f t="shared" si="10"/>
        <v>7468.9859999999999</v>
      </c>
      <c r="E58" s="599">
        <f t="shared" si="10"/>
        <v>1675.7760000000003</v>
      </c>
      <c r="F58" s="602">
        <f t="shared" si="9"/>
        <v>21.163735624565291</v>
      </c>
      <c r="G58" s="621">
        <f>F58*Feed_Composition!E11*2000</f>
        <v>8.4654942498261168</v>
      </c>
      <c r="H58" s="865"/>
      <c r="I58" s="8"/>
    </row>
    <row r="59" spans="1:24">
      <c r="A59" s="683" t="s">
        <v>231</v>
      </c>
      <c r="B59" s="599">
        <f t="shared" si="7"/>
        <v>1014031.1975051987</v>
      </c>
      <c r="C59" s="599">
        <f t="shared" si="10"/>
        <v>995410.94399999094</v>
      </c>
      <c r="D59" s="599">
        <f t="shared" si="10"/>
        <v>1486328.2139999941</v>
      </c>
      <c r="E59" s="599">
        <f t="shared" si="10"/>
        <v>333479.4239999986</v>
      </c>
      <c r="F59" s="602">
        <f t="shared" si="9"/>
        <v>4221.0253443032807</v>
      </c>
      <c r="G59" s="621">
        <f>F59*Feed_Composition!E16*2000</f>
        <v>0</v>
      </c>
      <c r="H59" s="8"/>
      <c r="I59" s="8"/>
    </row>
    <row r="60" spans="1:24" ht="15" thickBot="1">
      <c r="A60" s="684"/>
      <c r="B60" s="641"/>
      <c r="C60" s="641"/>
      <c r="D60" s="641"/>
      <c r="E60" s="641"/>
      <c r="F60" s="713"/>
      <c r="G60" s="622"/>
      <c r="H60" s="8"/>
      <c r="I60" s="8"/>
    </row>
    <row r="61" spans="1:24">
      <c r="F61" s="841">
        <f>SUM(F49:F59)</f>
        <v>245294.64052013255</v>
      </c>
      <c r="G61" s="842">
        <f>SUM(G49:G60)</f>
        <v>2892762.2398049068</v>
      </c>
      <c r="H61" s="843" t="s">
        <v>773</v>
      </c>
      <c r="I61" s="844"/>
    </row>
    <row r="62" spans="1:24" ht="15" thickBot="1">
      <c r="F62" s="845" t="s">
        <v>774</v>
      </c>
      <c r="G62" s="846" t="s">
        <v>348</v>
      </c>
      <c r="H62" s="847"/>
      <c r="I62" s="848"/>
    </row>
    <row r="63" spans="1:24">
      <c r="H63" s="8"/>
    </row>
    <row r="64" spans="1:24">
      <c r="H64" s="8"/>
    </row>
    <row r="65" spans="8:8">
      <c r="H65" s="8"/>
    </row>
    <row r="66" spans="8:8">
      <c r="H66" s="8"/>
    </row>
  </sheetData>
  <sheetProtection password="A4FF" sheet="1" objects="1" scenarios="1"/>
  <mergeCells count="4">
    <mergeCell ref="F47:F48"/>
    <mergeCell ref="G47:G48"/>
    <mergeCell ref="B49:E49"/>
    <mergeCell ref="I9:X1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8" tint="0.39997558519241921"/>
  </sheetPr>
  <dimension ref="A1:W30"/>
  <sheetViews>
    <sheetView workbookViewId="0">
      <selection activeCell="H10" sqref="H10"/>
    </sheetView>
  </sheetViews>
  <sheetFormatPr baseColWidth="10" defaultColWidth="8.83203125" defaultRowHeight="14" x14ac:dyDescent="0"/>
  <cols>
    <col min="1" max="1" width="28.1640625" customWidth="1"/>
    <col min="2" max="2" width="19.83203125" customWidth="1"/>
    <col min="3" max="3" width="16.33203125" customWidth="1"/>
    <col min="4" max="4" width="13" customWidth="1"/>
    <col min="5" max="5" width="13.83203125" customWidth="1"/>
    <col min="6" max="6" width="15" customWidth="1"/>
    <col min="7" max="7" width="14.5" customWidth="1"/>
    <col min="8" max="8" width="16.6640625" customWidth="1"/>
    <col min="9" max="9" width="13.5" customWidth="1"/>
    <col min="10" max="10" width="28.33203125" style="63" customWidth="1"/>
  </cols>
  <sheetData>
    <row r="1" spans="1:23" ht="19" thickBot="1">
      <c r="A1" s="748" t="s">
        <v>808</v>
      </c>
      <c r="B1" s="575"/>
      <c r="C1" s="575"/>
      <c r="D1" s="63"/>
      <c r="E1" s="63"/>
      <c r="F1" s="63"/>
      <c r="G1" s="575"/>
      <c r="H1" s="63"/>
      <c r="I1" s="63"/>
    </row>
    <row r="2" spans="1:23">
      <c r="A2" s="63"/>
      <c r="B2" s="575"/>
      <c r="C2" s="575"/>
      <c r="D2" s="63"/>
      <c r="E2" s="63"/>
      <c r="F2" s="63"/>
      <c r="G2" s="575"/>
      <c r="H2" s="63"/>
      <c r="I2" s="63"/>
    </row>
    <row r="3" spans="1:23">
      <c r="A3" s="63"/>
      <c r="B3" s="575"/>
      <c r="C3" s="575"/>
      <c r="D3" s="672"/>
      <c r="E3" s="63"/>
      <c r="F3" s="63"/>
      <c r="G3" s="575"/>
      <c r="H3" s="63"/>
      <c r="I3" s="63"/>
    </row>
    <row r="4" spans="1:23" ht="15" thickBot="1">
      <c r="A4" s="63"/>
      <c r="B4" s="575"/>
      <c r="C4" s="575"/>
      <c r="D4" s="672"/>
      <c r="E4" s="63"/>
      <c r="F4" s="63"/>
      <c r="G4" s="575"/>
      <c r="H4" s="63"/>
      <c r="I4" s="63"/>
    </row>
    <row r="5" spans="1:23" ht="29" thickBot="1">
      <c r="A5" s="574" t="s">
        <v>334</v>
      </c>
      <c r="B5" s="835" t="s">
        <v>490</v>
      </c>
      <c r="C5" s="835" t="s">
        <v>491</v>
      </c>
      <c r="D5" s="835" t="s">
        <v>183</v>
      </c>
      <c r="E5" s="835" t="s">
        <v>337</v>
      </c>
      <c r="F5" s="835" t="s">
        <v>337</v>
      </c>
      <c r="G5" s="835" t="s">
        <v>335</v>
      </c>
      <c r="H5" s="837" t="s">
        <v>357</v>
      </c>
      <c r="I5" s="838" t="s">
        <v>358</v>
      </c>
      <c r="J5" s="784"/>
    </row>
    <row r="6" spans="1:23" ht="17.25" customHeight="1">
      <c r="A6" s="794"/>
      <c r="B6" s="795" t="s">
        <v>184</v>
      </c>
      <c r="C6" s="795"/>
      <c r="D6" s="1304" t="s">
        <v>339</v>
      </c>
      <c r="E6" s="1304"/>
      <c r="F6" s="861" t="s">
        <v>340</v>
      </c>
      <c r="G6" s="795" t="s">
        <v>930</v>
      </c>
      <c r="H6" s="861" t="s">
        <v>359</v>
      </c>
      <c r="I6" s="797" t="s">
        <v>359</v>
      </c>
      <c r="J6" s="861"/>
      <c r="L6" s="718" t="s">
        <v>650</v>
      </c>
      <c r="M6" s="719"/>
      <c r="N6" s="719"/>
      <c r="O6" s="719"/>
      <c r="P6" s="719"/>
      <c r="Q6" s="719"/>
      <c r="R6" s="719"/>
      <c r="S6" s="719"/>
      <c r="T6" s="719"/>
      <c r="U6" s="719"/>
      <c r="V6" s="719"/>
      <c r="W6" s="699"/>
    </row>
    <row r="7" spans="1:23">
      <c r="A7" s="794"/>
      <c r="B7" s="798"/>
      <c r="C7" s="798"/>
      <c r="D7" s="682"/>
      <c r="E7" s="682"/>
      <c r="F7" s="682"/>
      <c r="G7" s="746"/>
      <c r="H7" s="682"/>
      <c r="I7" s="799"/>
      <c r="J7" s="682"/>
      <c r="L7" s="721"/>
      <c r="M7" s="698"/>
      <c r="N7" s="698"/>
      <c r="O7" s="698"/>
      <c r="P7" s="698"/>
      <c r="Q7" s="698"/>
      <c r="R7" s="698"/>
      <c r="S7" s="698"/>
      <c r="T7" s="698"/>
      <c r="U7" s="698"/>
      <c r="V7" s="698"/>
      <c r="W7" s="700"/>
    </row>
    <row r="8" spans="1:23">
      <c r="A8" s="800"/>
      <c r="B8" s="801"/>
      <c r="C8" s="801"/>
      <c r="D8" s="802"/>
      <c r="E8" s="802"/>
      <c r="F8" s="802"/>
      <c r="G8" s="803"/>
      <c r="H8" s="802"/>
      <c r="I8" s="804"/>
      <c r="J8" s="682"/>
      <c r="L8" s="1305" t="s">
        <v>811</v>
      </c>
      <c r="M8" s="1318"/>
      <c r="N8" s="1318"/>
      <c r="O8" s="1318"/>
      <c r="P8" s="1318"/>
      <c r="Q8" s="1318"/>
      <c r="R8" s="1318"/>
      <c r="S8" s="1318"/>
      <c r="T8" s="1318"/>
      <c r="U8" s="1318"/>
      <c r="V8" s="1318"/>
      <c r="W8" s="1307"/>
    </row>
    <row r="9" spans="1:23">
      <c r="A9" s="594" t="s">
        <v>810</v>
      </c>
      <c r="B9" s="682">
        <v>5.7</v>
      </c>
      <c r="C9" s="682">
        <v>45</v>
      </c>
      <c r="D9" s="783">
        <v>6.7308100266666698E-4</v>
      </c>
      <c r="E9" s="783"/>
      <c r="F9" s="8"/>
      <c r="G9" s="808">
        <f>Broiler_Nutrient!D48</f>
        <v>45822000</v>
      </c>
      <c r="H9" s="676">
        <f>C9*D9*G9</f>
        <v>1387886.2966886405</v>
      </c>
      <c r="I9" s="809"/>
      <c r="J9" s="676"/>
      <c r="L9" s="1308"/>
      <c r="M9" s="1318"/>
      <c r="N9" s="1318"/>
      <c r="O9" s="1318"/>
      <c r="P9" s="1318"/>
      <c r="Q9" s="1318"/>
      <c r="R9" s="1318"/>
      <c r="S9" s="1318"/>
      <c r="T9" s="1318"/>
      <c r="U9" s="1318"/>
      <c r="V9" s="1318"/>
      <c r="W9" s="1307"/>
    </row>
    <row r="10" spans="1:23">
      <c r="A10" s="810" t="s">
        <v>809</v>
      </c>
      <c r="B10" s="682">
        <v>1.51</v>
      </c>
      <c r="C10" s="682">
        <v>17</v>
      </c>
      <c r="D10" s="783">
        <v>6.7308100266666698E-4</v>
      </c>
      <c r="E10" s="646"/>
      <c r="F10" s="783"/>
      <c r="G10" s="808">
        <f>Broiler_Nutrient!B48-Broiler_Manure!G9</f>
        <v>1810016.6320166364</v>
      </c>
      <c r="H10" s="676">
        <f>C10*D10*G10</f>
        <v>20710.892761858719</v>
      </c>
      <c r="I10" s="809"/>
      <c r="J10" s="676"/>
      <c r="L10" s="1291"/>
      <c r="M10" s="1317"/>
      <c r="N10" s="1317"/>
      <c r="O10" s="1317"/>
      <c r="P10" s="1317"/>
      <c r="Q10" s="1317"/>
      <c r="R10" s="1317"/>
      <c r="S10" s="1317"/>
      <c r="T10" s="1317"/>
      <c r="U10" s="1317"/>
      <c r="V10" s="1317"/>
      <c r="W10" s="1290"/>
    </row>
    <row r="11" spans="1:23">
      <c r="A11" s="594"/>
      <c r="B11" s="682"/>
      <c r="C11" s="682"/>
      <c r="D11" s="783"/>
      <c r="E11" s="783"/>
      <c r="F11" s="783"/>
      <c r="G11" s="808"/>
      <c r="H11" s="676"/>
      <c r="I11" s="809"/>
      <c r="J11" s="676"/>
      <c r="L11" s="1291"/>
      <c r="M11" s="1317"/>
      <c r="N11" s="1317"/>
      <c r="O11" s="1317"/>
      <c r="P11" s="1317"/>
      <c r="Q11" s="1317"/>
      <c r="R11" s="1317"/>
      <c r="S11" s="1317"/>
      <c r="T11" s="1317"/>
      <c r="U11" s="1317"/>
      <c r="V11" s="1317"/>
      <c r="W11" s="1290"/>
    </row>
    <row r="12" spans="1:23">
      <c r="A12" s="594"/>
      <c r="B12" s="682"/>
      <c r="C12" s="682"/>
      <c r="D12" s="783"/>
      <c r="E12" s="783"/>
      <c r="F12" s="783"/>
      <c r="G12" s="808"/>
      <c r="H12" s="676"/>
      <c r="I12" s="809"/>
      <c r="J12" s="676"/>
      <c r="L12" s="721"/>
      <c r="M12" s="725" t="s">
        <v>729</v>
      </c>
      <c r="N12" s="698"/>
      <c r="O12" s="698"/>
      <c r="P12" s="698"/>
      <c r="Q12" s="698"/>
      <c r="R12" s="698"/>
      <c r="S12" s="698"/>
      <c r="T12" s="698"/>
      <c r="U12" s="698"/>
      <c r="V12" s="698"/>
      <c r="W12" s="700"/>
    </row>
    <row r="13" spans="1:23">
      <c r="A13" s="800"/>
      <c r="B13" s="802"/>
      <c r="C13" s="802"/>
      <c r="D13" s="812"/>
      <c r="E13" s="812"/>
      <c r="F13" s="812"/>
      <c r="G13" s="813"/>
      <c r="H13" s="669"/>
      <c r="I13" s="814"/>
      <c r="J13" s="676"/>
      <c r="L13" s="721"/>
      <c r="M13" s="725" t="s">
        <v>728</v>
      </c>
      <c r="N13" s="698"/>
      <c r="O13" s="698"/>
      <c r="P13" s="698"/>
      <c r="Q13" s="698"/>
      <c r="R13" s="698"/>
      <c r="S13" s="698"/>
      <c r="T13" s="698"/>
      <c r="U13" s="698"/>
      <c r="V13" s="698"/>
      <c r="W13" s="700"/>
    </row>
    <row r="14" spans="1:23">
      <c r="A14" s="810"/>
      <c r="B14" s="682"/>
      <c r="C14" s="682"/>
      <c r="D14" s="783"/>
      <c r="E14" s="783"/>
      <c r="F14" s="8"/>
      <c r="G14" s="808"/>
      <c r="H14" s="676"/>
      <c r="I14" s="809"/>
      <c r="J14" s="676"/>
      <c r="L14" s="721"/>
      <c r="M14" s="725"/>
      <c r="N14" s="698"/>
      <c r="O14" s="698"/>
      <c r="P14" s="698"/>
      <c r="Q14" s="698"/>
      <c r="R14" s="698"/>
      <c r="S14" s="698"/>
      <c r="T14" s="698"/>
      <c r="U14" s="698"/>
      <c r="V14" s="698"/>
      <c r="W14" s="700"/>
    </row>
    <row r="15" spans="1:23">
      <c r="A15" s="810"/>
      <c r="B15" s="682"/>
      <c r="C15" s="682"/>
      <c r="D15" s="781"/>
      <c r="E15" s="783"/>
      <c r="F15" s="783"/>
      <c r="G15" s="808"/>
      <c r="H15" s="676"/>
      <c r="I15" s="809"/>
      <c r="J15" s="676"/>
      <c r="L15" s="721"/>
      <c r="M15" s="698"/>
      <c r="N15" s="698"/>
      <c r="O15" s="698"/>
      <c r="P15" s="698"/>
      <c r="Q15" s="698"/>
      <c r="R15" s="698"/>
      <c r="S15" s="698"/>
      <c r="T15" s="698"/>
      <c r="U15" s="698"/>
      <c r="V15" s="698"/>
      <c r="W15" s="700"/>
    </row>
    <row r="16" spans="1:23" ht="15" thickBot="1">
      <c r="A16" s="810"/>
      <c r="B16" s="682"/>
      <c r="C16" s="682"/>
      <c r="D16" s="783"/>
      <c r="E16" s="783"/>
      <c r="F16" s="783"/>
      <c r="G16" s="808"/>
      <c r="H16" s="676"/>
      <c r="I16" s="809"/>
      <c r="J16" s="676"/>
      <c r="L16" s="702"/>
      <c r="M16" s="703"/>
      <c r="N16" s="703"/>
      <c r="O16" s="703"/>
      <c r="P16" s="703"/>
      <c r="Q16" s="703"/>
      <c r="R16" s="703"/>
      <c r="S16" s="703"/>
      <c r="T16" s="703"/>
      <c r="U16" s="703"/>
      <c r="V16" s="703"/>
      <c r="W16" s="704"/>
    </row>
    <row r="17" spans="1:11">
      <c r="A17" s="594"/>
      <c r="B17" s="682"/>
      <c r="C17" s="682"/>
      <c r="D17" s="783"/>
      <c r="E17" s="783"/>
      <c r="F17" s="783"/>
      <c r="G17" s="808"/>
      <c r="H17" s="676"/>
      <c r="I17" s="809"/>
      <c r="J17" s="676"/>
    </row>
    <row r="18" spans="1:11" ht="15" thickBot="1">
      <c r="A18" s="818"/>
      <c r="B18" s="819"/>
      <c r="C18" s="819"/>
      <c r="D18" s="820"/>
      <c r="E18" s="820"/>
      <c r="F18" s="820"/>
      <c r="G18" s="821"/>
      <c r="H18" s="822"/>
      <c r="I18" s="823"/>
      <c r="J18" s="676"/>
    </row>
    <row r="19" spans="1:11">
      <c r="A19" s="645"/>
      <c r="B19" s="686"/>
      <c r="C19" s="575"/>
      <c r="D19" s="583"/>
      <c r="E19" s="583"/>
      <c r="F19" s="583"/>
      <c r="G19" s="618"/>
      <c r="H19" s="597"/>
      <c r="I19" s="597"/>
      <c r="J19" s="597"/>
    </row>
    <row r="20" spans="1:11">
      <c r="A20" s="619"/>
      <c r="B20" s="575"/>
      <c r="C20" s="575"/>
      <c r="D20" s="583"/>
      <c r="E20" s="583"/>
      <c r="F20" s="583"/>
      <c r="G20" s="618"/>
      <c r="H20" s="597"/>
      <c r="I20" s="597"/>
      <c r="J20" s="597"/>
    </row>
    <row r="21" spans="1:11">
      <c r="A21" s="645"/>
      <c r="B21" s="575"/>
      <c r="C21" s="575"/>
      <c r="D21" s="583"/>
      <c r="E21" s="583"/>
      <c r="F21" s="583"/>
      <c r="G21" s="618"/>
      <c r="H21" s="597"/>
      <c r="I21" s="597"/>
      <c r="J21" s="597"/>
    </row>
    <row r="22" spans="1:11">
      <c r="A22" s="645"/>
      <c r="B22" s="575"/>
      <c r="C22" s="575"/>
      <c r="D22" s="583"/>
      <c r="E22" s="583"/>
      <c r="F22" s="583"/>
      <c r="G22" s="618"/>
      <c r="H22" s="597"/>
      <c r="I22" s="597"/>
      <c r="J22" s="597"/>
    </row>
    <row r="23" spans="1:11">
      <c r="A23" s="63"/>
      <c r="B23" s="575"/>
      <c r="C23" s="575"/>
      <c r="D23" s="583"/>
      <c r="E23" s="583"/>
      <c r="F23" s="783"/>
      <c r="G23" s="808"/>
      <c r="H23" s="676"/>
      <c r="I23" s="676"/>
      <c r="J23" s="676"/>
      <c r="K23" s="8"/>
    </row>
    <row r="24" spans="1:11">
      <c r="A24" s="63"/>
      <c r="B24" s="575"/>
      <c r="C24" s="575"/>
      <c r="D24" s="583"/>
      <c r="E24" s="583"/>
      <c r="F24" s="783"/>
      <c r="G24" s="808"/>
      <c r="H24" s="676"/>
      <c r="I24" s="676"/>
      <c r="J24" s="676"/>
      <c r="K24" s="8"/>
    </row>
    <row r="25" spans="1:11">
      <c r="A25" s="63"/>
      <c r="B25" s="575"/>
      <c r="C25" s="575"/>
      <c r="D25" s="63"/>
      <c r="E25" s="63"/>
      <c r="F25" s="832" t="s">
        <v>32</v>
      </c>
      <c r="G25" s="833"/>
      <c r="H25" s="834">
        <f>SUM(H9:H24)</f>
        <v>1408597.1894504991</v>
      </c>
      <c r="I25" s="834"/>
      <c r="J25" s="789"/>
      <c r="K25" s="8"/>
    </row>
    <row r="26" spans="1:11">
      <c r="A26" s="63"/>
      <c r="B26" s="575"/>
      <c r="C26" s="575"/>
      <c r="D26" s="63"/>
      <c r="E26" s="63"/>
      <c r="F26" s="208"/>
      <c r="G26" s="768"/>
      <c r="H26" s="770" t="s">
        <v>870</v>
      </c>
      <c r="I26" s="769"/>
      <c r="J26" s="769"/>
      <c r="K26" s="8"/>
    </row>
    <row r="27" spans="1:11">
      <c r="F27" s="8"/>
      <c r="G27" s="8"/>
      <c r="H27" s="8"/>
      <c r="I27" s="8"/>
      <c r="J27" s="208"/>
      <c r="K27" s="8"/>
    </row>
    <row r="28" spans="1:11">
      <c r="F28" s="8"/>
      <c r="G28" s="8"/>
      <c r="H28" s="8"/>
      <c r="I28" s="8"/>
      <c r="J28" s="208"/>
      <c r="K28" s="8"/>
    </row>
    <row r="30" spans="1:11">
      <c r="A30" s="687"/>
    </row>
  </sheetData>
  <sheetProtection password="A4FF" sheet="1" objects="1" scenarios="1"/>
  <mergeCells count="2">
    <mergeCell ref="D6:E6"/>
    <mergeCell ref="L8:W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8" tint="0.39997558519241921"/>
  </sheetPr>
  <dimension ref="A1:Y46"/>
  <sheetViews>
    <sheetView workbookViewId="0">
      <selection activeCell="C26" sqref="C26"/>
    </sheetView>
  </sheetViews>
  <sheetFormatPr baseColWidth="10" defaultColWidth="8.83203125" defaultRowHeight="14" x14ac:dyDescent="0"/>
  <cols>
    <col min="1" max="1" width="39" customWidth="1"/>
    <col min="2" max="3" width="46.83203125" customWidth="1"/>
    <col min="4" max="4" width="28.33203125" customWidth="1"/>
    <col min="5" max="5" width="59.5" customWidth="1"/>
    <col min="7" max="7" width="19.33203125" customWidth="1"/>
    <col min="8" max="8" width="13.5" customWidth="1"/>
  </cols>
  <sheetData>
    <row r="1" spans="1:25" ht="19" thickBot="1">
      <c r="A1" s="748" t="s">
        <v>808</v>
      </c>
      <c r="B1" s="679" t="s">
        <v>1090</v>
      </c>
      <c r="C1" s="679" t="s">
        <v>699</v>
      </c>
      <c r="D1" s="679" t="s">
        <v>1092</v>
      </c>
      <c r="H1" s="718" t="s">
        <v>650</v>
      </c>
      <c r="I1" s="927"/>
      <c r="J1" s="719"/>
      <c r="K1" s="719"/>
      <c r="L1" s="719"/>
      <c r="M1" s="719"/>
      <c r="N1" s="719"/>
      <c r="O1" s="719"/>
      <c r="P1" s="719"/>
      <c r="Q1" s="719"/>
      <c r="R1" s="719"/>
      <c r="S1" s="719"/>
      <c r="T1" s="719"/>
      <c r="U1" s="719"/>
      <c r="V1" s="719"/>
      <c r="W1" s="719"/>
      <c r="X1" s="719"/>
      <c r="Y1" s="699"/>
    </row>
    <row r="2" spans="1:25">
      <c r="A2" s="915" t="s">
        <v>366</v>
      </c>
      <c r="B2" s="1319" t="s">
        <v>812</v>
      </c>
      <c r="C2" s="1319"/>
      <c r="D2" s="1319"/>
      <c r="E2" s="5"/>
      <c r="H2" s="744"/>
      <c r="I2" s="697"/>
      <c r="J2" s="698"/>
      <c r="K2" s="698"/>
      <c r="L2" s="698"/>
      <c r="M2" s="698"/>
      <c r="N2" s="698"/>
      <c r="O2" s="698"/>
      <c r="P2" s="698"/>
      <c r="Q2" s="698"/>
      <c r="R2" s="698"/>
      <c r="S2" s="698"/>
      <c r="T2" s="698"/>
      <c r="U2" s="698"/>
      <c r="V2" s="698"/>
      <c r="W2" s="698"/>
      <c r="X2" s="698"/>
      <c r="Y2" s="700"/>
    </row>
    <row r="3" spans="1:25">
      <c r="A3" s="8" t="s">
        <v>787</v>
      </c>
      <c r="B3" s="731">
        <f>Broiler_Nutrient!G61</f>
        <v>2892762.2398049068</v>
      </c>
      <c r="C3" s="731"/>
      <c r="D3" s="731"/>
      <c r="E3" s="5"/>
      <c r="H3" s="720" t="s">
        <v>868</v>
      </c>
      <c r="I3" s="697"/>
      <c r="J3" s="698"/>
      <c r="K3" s="698"/>
      <c r="L3" s="698"/>
      <c r="M3" s="698"/>
      <c r="N3" s="698"/>
      <c r="O3" s="698"/>
      <c r="P3" s="698"/>
      <c r="Q3" s="698"/>
      <c r="R3" s="698"/>
      <c r="S3" s="698"/>
      <c r="T3" s="698"/>
      <c r="U3" s="698"/>
      <c r="V3" s="698"/>
      <c r="W3" s="698"/>
      <c r="X3" s="698"/>
      <c r="Y3" s="700"/>
    </row>
    <row r="4" spans="1:25">
      <c r="A4" s="8" t="s">
        <v>788</v>
      </c>
      <c r="B4" s="881">
        <f>Broiler_Nutrient!G57+Broiler_Nutrient!G58</f>
        <v>47948.724453706491</v>
      </c>
      <c r="C4" s="731"/>
      <c r="D4" s="731"/>
      <c r="E4" s="5"/>
      <c r="H4" s="721" t="s">
        <v>867</v>
      </c>
      <c r="I4" s="698"/>
      <c r="J4" s="698"/>
      <c r="K4" s="698"/>
      <c r="L4" s="698"/>
      <c r="M4" s="698"/>
      <c r="N4" s="698"/>
      <c r="O4" s="698"/>
      <c r="P4" s="698"/>
      <c r="Q4" s="698"/>
      <c r="R4" s="698"/>
      <c r="S4" s="698"/>
      <c r="T4" s="698"/>
      <c r="U4" s="698"/>
      <c r="V4" s="698"/>
      <c r="W4" s="698"/>
      <c r="X4" s="698"/>
      <c r="Y4" s="700"/>
    </row>
    <row r="5" spans="1:25">
      <c r="A5" s="8" t="s">
        <v>360</v>
      </c>
      <c r="B5" s="731"/>
      <c r="C5" s="731">
        <f>Broiler_Manure!H25</f>
        <v>1408597.1894504991</v>
      </c>
      <c r="D5" s="735"/>
      <c r="E5" s="5"/>
      <c r="H5" s="849"/>
      <c r="I5" s="857"/>
      <c r="J5" s="856"/>
      <c r="K5" s="857"/>
      <c r="L5" s="857"/>
      <c r="M5" s="857"/>
      <c r="N5" s="857"/>
      <c r="O5" s="857"/>
      <c r="P5" s="857"/>
      <c r="Q5" s="857"/>
      <c r="R5" s="857"/>
      <c r="S5" s="857"/>
      <c r="T5" s="857"/>
      <c r="U5" s="698"/>
      <c r="V5" s="698"/>
      <c r="W5" s="698"/>
      <c r="X5" s="698"/>
      <c r="Y5" s="700"/>
    </row>
    <row r="6" spans="1:25">
      <c r="A6" s="8" t="s">
        <v>607</v>
      </c>
      <c r="B6" s="731"/>
      <c r="C6" s="731"/>
      <c r="D6" s="731">
        <f>(BroilerFlock!B8*BroilerPBalance!C18)</f>
        <v>1350322.5365326507</v>
      </c>
      <c r="E6" s="5"/>
      <c r="H6" s="849" t="s">
        <v>825</v>
      </c>
      <c r="I6" s="857"/>
      <c r="J6" s="857"/>
      <c r="K6" s="857"/>
      <c r="L6" s="857"/>
      <c r="M6" s="857"/>
      <c r="N6" s="857"/>
      <c r="O6" s="857"/>
      <c r="P6" s="857"/>
      <c r="Q6" s="857"/>
      <c r="R6" s="857"/>
      <c r="S6" s="857"/>
      <c r="T6" s="857"/>
      <c r="U6" s="698"/>
      <c r="V6" s="698"/>
      <c r="W6" s="698"/>
      <c r="X6" s="698"/>
      <c r="Y6" s="700"/>
    </row>
    <row r="7" spans="1:25">
      <c r="A7" s="208" t="s">
        <v>818</v>
      </c>
      <c r="B7" s="731"/>
      <c r="C7" s="731"/>
      <c r="D7" s="731">
        <f>(BroilerFlock!B6*BroilerPBalance!C20)+((BroilerFlock!B7-BroilerFlock!B6)*BroilerPBalance!C19)</f>
        <v>9787.7066480174981</v>
      </c>
      <c r="E7" s="5"/>
      <c r="H7" s="849"/>
      <c r="I7" s="725" t="s">
        <v>826</v>
      </c>
      <c r="J7" s="857"/>
      <c r="K7" s="857"/>
      <c r="L7" s="857"/>
      <c r="M7" s="857"/>
      <c r="N7" s="857"/>
      <c r="O7" s="857"/>
      <c r="P7" s="857"/>
      <c r="Q7" s="857"/>
      <c r="R7" s="857"/>
      <c r="S7" s="857"/>
      <c r="T7" s="857"/>
      <c r="U7" s="698"/>
      <c r="V7" s="698"/>
      <c r="W7" s="698"/>
      <c r="X7" s="698"/>
      <c r="Y7" s="700"/>
    </row>
    <row r="8" spans="1:25">
      <c r="A8" s="8" t="s">
        <v>613</v>
      </c>
      <c r="B8" s="731">
        <f>C19*BroilerFlock!B7</f>
        <v>13044.53446645706</v>
      </c>
      <c r="C8" s="731"/>
      <c r="D8" s="731"/>
      <c r="E8" s="5"/>
      <c r="H8" s="858"/>
      <c r="I8" s="856"/>
      <c r="J8" s="857"/>
      <c r="K8" s="857"/>
      <c r="L8" s="857"/>
      <c r="M8" s="857"/>
      <c r="N8" s="857"/>
      <c r="O8" s="857"/>
      <c r="P8" s="857"/>
      <c r="Q8" s="857"/>
      <c r="R8" s="857"/>
      <c r="S8" s="857"/>
      <c r="T8" s="857"/>
      <c r="U8" s="698"/>
      <c r="V8" s="698"/>
      <c r="W8" s="698"/>
      <c r="X8" s="698"/>
      <c r="Y8" s="700"/>
    </row>
    <row r="9" spans="1:25">
      <c r="A9" s="8"/>
      <c r="B9" s="730"/>
      <c r="C9" s="730"/>
      <c r="D9" s="731"/>
      <c r="E9" s="350"/>
      <c r="H9" s="858" t="s">
        <v>820</v>
      </c>
      <c r="I9" s="856"/>
      <c r="J9" s="857"/>
      <c r="K9" s="857"/>
      <c r="L9" s="857"/>
      <c r="M9" s="857"/>
      <c r="N9" s="857"/>
      <c r="O9" s="857"/>
      <c r="P9" s="857"/>
      <c r="Q9" s="857"/>
      <c r="R9" s="857"/>
      <c r="S9" s="857"/>
      <c r="T9" s="857"/>
      <c r="U9" s="698"/>
      <c r="V9" s="698"/>
      <c r="W9" s="698"/>
      <c r="X9" s="698"/>
      <c r="Y9" s="700"/>
    </row>
    <row r="10" spans="1:25">
      <c r="A10" s="208" t="s">
        <v>612</v>
      </c>
      <c r="B10" s="730"/>
      <c r="C10" s="731">
        <f>BroilerFlock!B11*BroilerPBalance!C17</f>
        <v>9275.7150355089634</v>
      </c>
      <c r="D10" s="731"/>
      <c r="E10" s="350"/>
      <c r="H10" s="858"/>
      <c r="I10" s="856"/>
      <c r="J10" s="878" t="s">
        <v>823</v>
      </c>
      <c r="K10" s="856" t="s">
        <v>688</v>
      </c>
      <c r="L10" s="856"/>
      <c r="M10" s="856"/>
      <c r="N10" s="856"/>
      <c r="O10" s="856"/>
      <c r="P10" s="856"/>
      <c r="Q10" s="856"/>
      <c r="R10" s="856"/>
      <c r="S10" s="857"/>
      <c r="T10" s="856"/>
      <c r="U10" s="698"/>
      <c r="V10" s="698"/>
      <c r="W10" s="698"/>
      <c r="X10" s="698"/>
      <c r="Y10" s="700"/>
    </row>
    <row r="11" spans="1:25" ht="15" thickBot="1">
      <c r="A11" s="8"/>
      <c r="B11" s="730"/>
      <c r="C11" s="730"/>
      <c r="D11" s="731"/>
      <c r="E11" s="350"/>
      <c r="H11" s="858"/>
      <c r="I11" s="856"/>
      <c r="J11" s="878" t="s">
        <v>824</v>
      </c>
      <c r="K11" s="856" t="s">
        <v>608</v>
      </c>
      <c r="L11" s="856"/>
      <c r="M11" s="856"/>
      <c r="N11" s="856"/>
      <c r="O11" s="856"/>
      <c r="P11" s="856"/>
      <c r="Q11" s="856"/>
      <c r="R11" s="856"/>
      <c r="S11" s="856"/>
      <c r="T11" s="856"/>
      <c r="U11" s="698"/>
      <c r="V11" s="698"/>
      <c r="W11" s="698"/>
      <c r="X11" s="698"/>
      <c r="Y11" s="700"/>
    </row>
    <row r="12" spans="1:25" ht="15" thickBot="1">
      <c r="A12" s="598" t="s">
        <v>376</v>
      </c>
      <c r="B12" s="875">
        <f>(D6+D7)/(B3+B8)</f>
        <v>0.46806630613686218</v>
      </c>
      <c r="C12" s="882"/>
      <c r="D12" s="730"/>
      <c r="H12" s="858"/>
      <c r="I12" s="856"/>
      <c r="J12" s="878" t="s">
        <v>822</v>
      </c>
      <c r="K12" s="856" t="s">
        <v>832</v>
      </c>
      <c r="L12" s="856"/>
      <c r="M12" s="856"/>
      <c r="N12" s="856"/>
      <c r="O12" s="856"/>
      <c r="P12" s="856"/>
      <c r="Q12" s="856"/>
      <c r="R12" s="856"/>
      <c r="S12" s="856"/>
      <c r="T12" s="856"/>
      <c r="U12" s="698"/>
      <c r="V12" s="698"/>
      <c r="W12" s="698"/>
      <c r="X12" s="698"/>
      <c r="Y12" s="700"/>
    </row>
    <row r="13" spans="1:25">
      <c r="A13" s="8"/>
      <c r="B13" s="730"/>
      <c r="C13" s="730"/>
      <c r="D13" s="731">
        <f>(B3+B8)-(D6+D7+C5+D10)-C10</f>
        <v>127823.62660468731</v>
      </c>
      <c r="E13" s="164" t="s">
        <v>931</v>
      </c>
      <c r="H13" s="854"/>
      <c r="I13" s="855"/>
      <c r="J13" s="879" t="s">
        <v>821</v>
      </c>
      <c r="K13" s="877" t="s">
        <v>686</v>
      </c>
      <c r="L13" s="855"/>
      <c r="M13" s="855"/>
      <c r="N13" s="855"/>
      <c r="O13" s="855"/>
      <c r="P13" s="855"/>
      <c r="Q13" s="855"/>
      <c r="R13" s="855"/>
      <c r="S13" s="855"/>
      <c r="T13" s="855"/>
      <c r="U13" s="698"/>
      <c r="V13" s="698"/>
      <c r="W13" s="698"/>
      <c r="X13" s="698"/>
      <c r="Y13" s="700"/>
    </row>
    <row r="14" spans="1:25">
      <c r="A14" s="8"/>
      <c r="B14" s="730"/>
      <c r="C14" s="730"/>
      <c r="D14" s="917">
        <f>(D13+B8)/B3</f>
        <v>4.8696764335752936E-2</v>
      </c>
      <c r="E14" s="164" t="s">
        <v>379</v>
      </c>
      <c r="H14" s="854"/>
      <c r="I14" s="855"/>
      <c r="J14" s="879" t="s">
        <v>828</v>
      </c>
      <c r="K14" s="877" t="s">
        <v>829</v>
      </c>
      <c r="L14" s="855"/>
      <c r="M14" s="855"/>
      <c r="N14" s="855"/>
      <c r="O14" s="855"/>
      <c r="P14" s="855"/>
      <c r="Q14" s="855"/>
      <c r="R14" s="855"/>
      <c r="S14" s="855"/>
      <c r="T14" s="855"/>
      <c r="U14" s="698"/>
      <c r="V14" s="698"/>
      <c r="W14" s="698"/>
      <c r="X14" s="698"/>
      <c r="Y14" s="700"/>
    </row>
    <row r="15" spans="1:25">
      <c r="H15" s="854"/>
      <c r="I15" s="855"/>
      <c r="J15" s="946" t="s">
        <v>872</v>
      </c>
      <c r="K15" s="1320" t="s">
        <v>873</v>
      </c>
      <c r="L15" s="1321"/>
      <c r="M15" s="1321"/>
      <c r="N15" s="1321"/>
      <c r="O15" s="1321"/>
      <c r="P15" s="1321"/>
      <c r="Q15" s="1321"/>
      <c r="R15" s="1321"/>
      <c r="S15" s="1321"/>
      <c r="T15" s="1321"/>
      <c r="U15" s="1321"/>
      <c r="V15" s="1321"/>
      <c r="W15" s="1321"/>
      <c r="X15" s="1321"/>
      <c r="Y15" s="1322"/>
    </row>
    <row r="16" spans="1:25">
      <c r="A16" s="8"/>
      <c r="B16" s="921"/>
      <c r="C16" s="887" t="s">
        <v>689</v>
      </c>
      <c r="D16" s="947" t="s">
        <v>871</v>
      </c>
      <c r="E16" s="916"/>
      <c r="F16" s="8"/>
      <c r="G16" s="8"/>
      <c r="H16" s="721"/>
      <c r="I16" s="698"/>
      <c r="J16" s="878"/>
      <c r="K16" s="1321"/>
      <c r="L16" s="1321"/>
      <c r="M16" s="1321"/>
      <c r="N16" s="1321"/>
      <c r="O16" s="1321"/>
      <c r="P16" s="1321"/>
      <c r="Q16" s="1321"/>
      <c r="R16" s="1321"/>
      <c r="S16" s="1321"/>
      <c r="T16" s="1321"/>
      <c r="U16" s="1321"/>
      <c r="V16" s="1321"/>
      <c r="W16" s="1321"/>
      <c r="X16" s="1321"/>
      <c r="Y16" s="1322"/>
    </row>
    <row r="17" spans="1:25">
      <c r="A17" s="8"/>
      <c r="B17" s="922" t="s">
        <v>610</v>
      </c>
      <c r="C17" s="895">
        <f>Broiler_Nutrient!B16*D17*2.20462262</f>
        <v>5.124657349239059E-3</v>
      </c>
      <c r="D17" s="923">
        <v>0.47</v>
      </c>
      <c r="E17" s="918"/>
      <c r="F17" s="554"/>
      <c r="G17" s="8"/>
      <c r="H17" s="721"/>
      <c r="I17" s="698"/>
      <c r="J17" s="698"/>
      <c r="K17" s="698"/>
      <c r="L17" s="698"/>
      <c r="M17" s="698"/>
      <c r="N17" s="698"/>
      <c r="O17" s="698"/>
      <c r="P17" s="698"/>
      <c r="Q17" s="698"/>
      <c r="R17" s="698"/>
      <c r="S17" s="698"/>
      <c r="T17" s="698"/>
      <c r="U17" s="698"/>
      <c r="V17" s="698"/>
      <c r="W17" s="698"/>
      <c r="X17" s="698"/>
      <c r="Y17" s="700"/>
    </row>
    <row r="18" spans="1:25" ht="15" thickBot="1">
      <c r="A18" s="8"/>
      <c r="B18" s="924" t="s">
        <v>611</v>
      </c>
      <c r="C18" s="895">
        <f>(Broiler_Nutrient!B16+Broiler_Nutrient!C16+Broiler_Nutrient!D16+Broiler_Nutrient!E16)*BroilerPBalance!D17*2.20462262</f>
        <v>2.946886946297959E-2</v>
      </c>
      <c r="D18" s="892"/>
      <c r="E18" s="919"/>
      <c r="F18" s="318"/>
      <c r="G18" s="8"/>
      <c r="H18" s="702" t="s">
        <v>827</v>
      </c>
      <c r="I18" s="703"/>
      <c r="J18" s="703"/>
      <c r="K18" s="703"/>
      <c r="L18" s="703"/>
      <c r="M18" s="703"/>
      <c r="N18" s="703"/>
      <c r="O18" s="703"/>
      <c r="P18" s="703"/>
      <c r="Q18" s="703"/>
      <c r="R18" s="703"/>
      <c r="S18" s="703"/>
      <c r="T18" s="703"/>
      <c r="U18" s="703"/>
      <c r="V18" s="703"/>
      <c r="W18" s="703"/>
      <c r="X18" s="703"/>
      <c r="Y18" s="704"/>
    </row>
    <row r="19" spans="1:25">
      <c r="A19" s="8"/>
      <c r="B19" s="924" t="s">
        <v>592</v>
      </c>
      <c r="C19" s="895">
        <v>2.3004293596208414E-4</v>
      </c>
      <c r="D19" s="892"/>
      <c r="E19" s="920"/>
      <c r="F19" s="318"/>
      <c r="G19" s="8"/>
    </row>
    <row r="20" spans="1:25">
      <c r="A20" s="8"/>
      <c r="B20" s="925" t="s">
        <v>843</v>
      </c>
      <c r="C20" s="899">
        <v>1.6166817359163202E-4</v>
      </c>
      <c r="D20" s="898"/>
      <c r="E20" s="920"/>
      <c r="F20" s="554"/>
      <c r="G20" s="8"/>
      <c r="N20" s="603"/>
    </row>
    <row r="23" spans="1:25">
      <c r="K23" s="603"/>
      <c r="N23" s="603"/>
    </row>
    <row r="24" spans="1:25">
      <c r="B24" s="688"/>
      <c r="C24" s="860"/>
      <c r="D24" s="688"/>
      <c r="E24" s="688"/>
      <c r="K24" s="603"/>
      <c r="L24" s="603"/>
      <c r="M24" s="603"/>
      <c r="N24" s="603"/>
    </row>
    <row r="25" spans="1:25">
      <c r="B25" s="688"/>
      <c r="C25" s="860"/>
      <c r="D25" s="688"/>
      <c r="E25" s="688"/>
      <c r="K25" s="603"/>
      <c r="L25" s="603"/>
      <c r="M25" s="603"/>
      <c r="N25" s="603"/>
    </row>
    <row r="26" spans="1:25">
      <c r="B26" s="5"/>
      <c r="C26" s="5"/>
      <c r="D26" s="5"/>
      <c r="E26" s="569"/>
      <c r="F26" s="569"/>
      <c r="K26" s="603"/>
      <c r="L26" s="603"/>
      <c r="M26" s="603"/>
      <c r="N26" s="603"/>
    </row>
    <row r="27" spans="1:25">
      <c r="B27" s="5"/>
      <c r="C27" s="5"/>
      <c r="D27" s="5"/>
      <c r="E27" s="569"/>
      <c r="F27" s="569"/>
    </row>
    <row r="28" spans="1:25">
      <c r="B28" s="5"/>
      <c r="C28" s="5"/>
      <c r="D28" s="5"/>
      <c r="E28" s="569"/>
      <c r="F28" s="569"/>
    </row>
    <row r="29" spans="1:25">
      <c r="B29" s="5"/>
      <c r="C29" s="5"/>
      <c r="D29" s="5"/>
      <c r="E29" s="569"/>
      <c r="F29" s="569"/>
    </row>
    <row r="30" spans="1:25">
      <c r="B30" s="5"/>
      <c r="C30" s="5"/>
      <c r="D30" s="5"/>
      <c r="E30" s="569"/>
      <c r="F30" s="569"/>
    </row>
    <row r="31" spans="1:25">
      <c r="B31" s="5"/>
      <c r="C31" s="5"/>
      <c r="D31" s="5"/>
      <c r="E31" s="569"/>
      <c r="F31" s="569"/>
    </row>
    <row r="32" spans="1:25">
      <c r="A32" s="63"/>
      <c r="B32" s="5"/>
      <c r="C32" s="5"/>
      <c r="D32" s="5"/>
      <c r="E32" s="569"/>
      <c r="F32" s="569"/>
    </row>
    <row r="33" spans="1:6">
      <c r="B33" s="561"/>
      <c r="C33" s="561"/>
      <c r="D33" s="561"/>
      <c r="E33" s="569"/>
      <c r="F33" s="569"/>
    </row>
    <row r="34" spans="1:6">
      <c r="E34" s="678"/>
      <c r="F34" s="678"/>
    </row>
    <row r="35" spans="1:6">
      <c r="E35" s="679"/>
      <c r="F35" s="679"/>
    </row>
    <row r="37" spans="1:6">
      <c r="D37" s="680"/>
    </row>
    <row r="41" spans="1:6">
      <c r="A41" s="164"/>
    </row>
    <row r="46" spans="1:6" ht="15">
      <c r="B46" s="685"/>
      <c r="C46" s="685"/>
    </row>
  </sheetData>
  <sheetProtection password="A4FF" sheet="1" objects="1" scenarios="1"/>
  <mergeCells count="2">
    <mergeCell ref="B2:D2"/>
    <mergeCell ref="K15:Y1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5" tint="-0.249977111117893"/>
  </sheetPr>
  <dimension ref="A1:Q25"/>
  <sheetViews>
    <sheetView workbookViewId="0">
      <selection activeCell="B17" sqref="B17"/>
    </sheetView>
  </sheetViews>
  <sheetFormatPr baseColWidth="10" defaultColWidth="8.83203125" defaultRowHeight="14" x14ac:dyDescent="0"/>
  <cols>
    <col min="1" max="1" width="30.5" customWidth="1"/>
    <col min="2" max="2" width="14" customWidth="1"/>
    <col min="3" max="3" width="17" customWidth="1"/>
    <col min="4" max="4" width="12.83203125" customWidth="1"/>
    <col min="17" max="17" width="7.83203125" customWidth="1"/>
  </cols>
  <sheetData>
    <row r="1" spans="1:17" ht="19" thickBot="1">
      <c r="A1" s="705" t="s">
        <v>278</v>
      </c>
      <c r="B1" s="561"/>
    </row>
    <row r="2" spans="1:17" ht="19" thickBot="1">
      <c r="A2" s="729" t="s">
        <v>277</v>
      </c>
      <c r="B2" s="561"/>
      <c r="E2" s="718" t="s">
        <v>650</v>
      </c>
      <c r="F2" s="719"/>
      <c r="G2" s="719"/>
      <c r="H2" s="719"/>
      <c r="I2" s="719"/>
      <c r="J2" s="719"/>
      <c r="K2" s="719"/>
      <c r="L2" s="719"/>
      <c r="M2" s="719"/>
      <c r="N2" s="719"/>
      <c r="O2" s="719"/>
      <c r="P2" s="719"/>
      <c r="Q2" s="699"/>
    </row>
    <row r="3" spans="1:17" ht="19" thickBot="1">
      <c r="A3" s="748" t="s">
        <v>816</v>
      </c>
      <c r="B3" s="561"/>
      <c r="E3" s="721"/>
      <c r="F3" s="698"/>
      <c r="G3" s="698"/>
      <c r="H3" s="698"/>
      <c r="I3" s="698"/>
      <c r="J3" s="698"/>
      <c r="K3" s="698"/>
      <c r="L3" s="698"/>
      <c r="M3" s="698"/>
      <c r="N3" s="698"/>
      <c r="O3" s="698"/>
      <c r="P3" s="698"/>
      <c r="Q3" s="700"/>
    </row>
    <row r="4" spans="1:17">
      <c r="A4" s="208"/>
      <c r="B4" s="676"/>
      <c r="C4" s="674"/>
      <c r="E4" s="744" t="s">
        <v>844</v>
      </c>
      <c r="F4" s="697"/>
      <c r="G4" s="697"/>
      <c r="H4" s="697"/>
      <c r="I4" s="697"/>
      <c r="J4" s="697"/>
      <c r="K4" s="697"/>
      <c r="L4" s="697"/>
      <c r="M4" s="697"/>
      <c r="N4" s="697"/>
      <c r="O4" s="697"/>
      <c r="P4" s="697"/>
      <c r="Q4" s="700"/>
    </row>
    <row r="5" spans="1:17">
      <c r="A5" s="208"/>
      <c r="B5" s="670"/>
      <c r="C5" s="599"/>
      <c r="E5" s="744" t="s">
        <v>1094</v>
      </c>
      <c r="F5" s="701"/>
      <c r="G5" s="698"/>
      <c r="H5" s="698"/>
      <c r="I5" s="698"/>
      <c r="J5" s="698"/>
      <c r="K5" s="698"/>
      <c r="L5" s="698"/>
      <c r="M5" s="698"/>
      <c r="N5" s="698"/>
      <c r="O5" s="698"/>
      <c r="P5" s="698"/>
      <c r="Q5" s="700"/>
    </row>
    <row r="6" spans="1:17">
      <c r="A6" s="950" t="s">
        <v>1093</v>
      </c>
      <c r="B6" s="1269">
        <f>IF(C18="YES",0,(B8+B11))</f>
        <v>0</v>
      </c>
      <c r="E6" s="721" t="s">
        <v>845</v>
      </c>
      <c r="F6" s="701"/>
      <c r="G6" s="698"/>
      <c r="H6" s="698"/>
      <c r="I6" s="698"/>
      <c r="J6" s="698"/>
      <c r="K6" s="698"/>
      <c r="L6" s="698"/>
      <c r="M6" s="698"/>
      <c r="N6" s="698"/>
      <c r="O6" s="698"/>
      <c r="P6" s="698"/>
      <c r="Q6" s="700"/>
    </row>
    <row r="7" spans="1:17">
      <c r="A7" s="730" t="s">
        <v>557</v>
      </c>
      <c r="B7" s="731">
        <f>(B18*85)</f>
        <v>41635754.189944133</v>
      </c>
      <c r="E7" s="720"/>
      <c r="F7" s="701" t="s">
        <v>850</v>
      </c>
      <c r="G7" s="739"/>
      <c r="H7" s="698"/>
      <c r="I7" s="698"/>
      <c r="J7" s="698"/>
      <c r="K7" s="698"/>
      <c r="L7" s="698"/>
      <c r="M7" s="698"/>
      <c r="N7" s="698"/>
      <c r="O7" s="698"/>
      <c r="P7" s="698"/>
      <c r="Q7" s="700"/>
    </row>
    <row r="8" spans="1:17">
      <c r="A8" s="707" t="s">
        <v>1085</v>
      </c>
      <c r="B8" s="766">
        <v>37264000</v>
      </c>
      <c r="C8" s="599"/>
      <c r="E8" s="720"/>
      <c r="F8" s="739" t="s">
        <v>849</v>
      </c>
      <c r="G8" s="698"/>
      <c r="H8" s="698"/>
      <c r="I8" s="698"/>
      <c r="J8" s="698"/>
      <c r="K8" s="698"/>
      <c r="L8" s="698"/>
      <c r="M8" s="698"/>
      <c r="N8" s="698"/>
      <c r="O8" s="698"/>
      <c r="P8" s="698"/>
      <c r="Q8" s="700"/>
    </row>
    <row r="9" spans="1:17">
      <c r="A9" s="733" t="s">
        <v>547</v>
      </c>
      <c r="B9" s="731">
        <f>(B8/2)+(B13-B12)+(B18-B16)</f>
        <v>18052124.87676635</v>
      </c>
      <c r="C9" s="599"/>
      <c r="E9" s="721"/>
      <c r="F9" s="701"/>
      <c r="G9" s="698"/>
      <c r="H9" s="698"/>
      <c r="I9" s="698"/>
      <c r="J9" s="698"/>
      <c r="K9" s="698"/>
      <c r="L9" s="698"/>
      <c r="M9" s="698"/>
      <c r="N9" s="698"/>
      <c r="O9" s="698"/>
      <c r="P9" s="698"/>
      <c r="Q9" s="700"/>
    </row>
    <row r="10" spans="1:17">
      <c r="A10" s="733" t="s">
        <v>548</v>
      </c>
      <c r="B10" s="731">
        <f>(B8/2)+(B12-B13)+(B16-B18)</f>
        <v>19211875.12323365</v>
      </c>
      <c r="C10" s="599"/>
      <c r="E10" s="742" t="s">
        <v>847</v>
      </c>
      <c r="F10" s="697"/>
      <c r="G10" s="697"/>
      <c r="H10" s="697"/>
      <c r="I10" s="698"/>
      <c r="J10" s="698"/>
      <c r="K10" s="698"/>
      <c r="L10" s="698"/>
      <c r="M10" s="698"/>
      <c r="N10" s="698"/>
      <c r="O10" s="698"/>
      <c r="P10" s="698"/>
      <c r="Q10" s="700"/>
    </row>
    <row r="11" spans="1:17">
      <c r="A11" s="730" t="s">
        <v>559</v>
      </c>
      <c r="B11" s="731">
        <f>(B8/0.895)-B8</f>
        <v>4371754.1899441332</v>
      </c>
      <c r="C11" s="8"/>
      <c r="E11" s="720"/>
      <c r="F11" s="725" t="s">
        <v>846</v>
      </c>
      <c r="G11" s="698"/>
      <c r="H11" s="698"/>
      <c r="I11" s="698"/>
      <c r="J11" s="698"/>
      <c r="K11" s="698"/>
      <c r="L11" s="698"/>
      <c r="M11" s="698"/>
      <c r="N11" s="698"/>
      <c r="O11" s="698"/>
      <c r="P11" s="698"/>
      <c r="Q11" s="700"/>
    </row>
    <row r="12" spans="1:17">
      <c r="A12" s="733" t="s">
        <v>586</v>
      </c>
      <c r="B12" s="731">
        <f>IF(B18=0,(B11/2),((B7/2))*0.13)</f>
        <v>2706324.0223463685</v>
      </c>
      <c r="C12" s="599"/>
      <c r="E12" s="742"/>
      <c r="F12" s="739"/>
      <c r="G12" s="697"/>
      <c r="H12" s="697"/>
      <c r="I12" s="698"/>
      <c r="J12" s="698"/>
      <c r="K12" s="698"/>
      <c r="L12" s="698"/>
      <c r="M12" s="698"/>
      <c r="N12" s="698"/>
      <c r="O12" s="698"/>
      <c r="P12" s="698"/>
      <c r="Q12" s="700"/>
    </row>
    <row r="13" spans="1:17">
      <c r="A13" s="733" t="s">
        <v>587</v>
      </c>
      <c r="B13" s="731">
        <f>IF(B18=0,(B11/2),((B7/2))*0.08)</f>
        <v>1665430.1675977653</v>
      </c>
      <c r="E13" s="720" t="s">
        <v>848</v>
      </c>
      <c r="F13" s="698"/>
      <c r="G13" s="698"/>
      <c r="H13" s="698"/>
      <c r="I13" s="698"/>
      <c r="J13" s="698"/>
      <c r="K13" s="698"/>
      <c r="L13" s="698"/>
      <c r="M13" s="698"/>
      <c r="N13" s="698"/>
      <c r="O13" s="698"/>
      <c r="P13" s="698"/>
      <c r="Q13" s="700"/>
    </row>
    <row r="14" spans="1:17">
      <c r="A14" s="208"/>
      <c r="B14" s="597"/>
      <c r="C14" s="350"/>
      <c r="E14" s="720"/>
      <c r="F14" s="725" t="s">
        <v>561</v>
      </c>
      <c r="G14" s="698"/>
      <c r="H14" s="698"/>
      <c r="I14" s="698"/>
      <c r="J14" s="698"/>
      <c r="K14" s="698"/>
      <c r="L14" s="698"/>
      <c r="M14" s="698"/>
      <c r="N14" s="698"/>
      <c r="O14" s="698"/>
      <c r="P14" s="698"/>
      <c r="Q14" s="700"/>
    </row>
    <row r="15" spans="1:17" ht="18.75" customHeight="1" thickBot="1">
      <c r="A15" s="208"/>
      <c r="B15" s="1259" t="s">
        <v>1083</v>
      </c>
      <c r="C15" s="1258"/>
      <c r="E15" s="702"/>
      <c r="F15" s="743"/>
      <c r="G15" s="703"/>
      <c r="H15" s="703"/>
      <c r="I15" s="703"/>
      <c r="J15" s="703"/>
      <c r="K15" s="703"/>
      <c r="L15" s="703"/>
      <c r="M15" s="703"/>
      <c r="N15" s="703"/>
      <c r="O15" s="703"/>
      <c r="P15" s="703"/>
      <c r="Q15" s="704"/>
    </row>
    <row r="16" spans="1:17">
      <c r="A16" s="730" t="s">
        <v>560</v>
      </c>
      <c r="B16" s="734">
        <f>B18/17</f>
        <v>28813.670719684524</v>
      </c>
      <c r="C16" s="619"/>
    </row>
    <row r="17" spans="1:5">
      <c r="A17" s="730" t="s">
        <v>562</v>
      </c>
      <c r="B17" s="734">
        <f>B16/0.87</f>
        <v>33119.161746763821</v>
      </c>
      <c r="C17" s="619"/>
    </row>
    <row r="18" spans="1:5">
      <c r="A18" s="730" t="s">
        <v>529</v>
      </c>
      <c r="B18" s="734">
        <f>IF(C18=0,0,(B8/0.895)/(100*0.85))</f>
        <v>489832.40223463689</v>
      </c>
      <c r="C18" s="1260" t="s">
        <v>1086</v>
      </c>
      <c r="D18" s="1323" t="s">
        <v>1084</v>
      </c>
      <c r="E18" s="1317"/>
    </row>
    <row r="19" spans="1:5">
      <c r="A19" s="730" t="s">
        <v>558</v>
      </c>
      <c r="B19" s="734">
        <f>B18/0.92</f>
        <v>532426.52416808356</v>
      </c>
      <c r="C19" s="695"/>
      <c r="D19" s="1317"/>
      <c r="E19" s="1317"/>
    </row>
    <row r="20" spans="1:5">
      <c r="B20" s="5"/>
      <c r="C20" s="350"/>
      <c r="D20" s="1317"/>
      <c r="E20" s="1317"/>
    </row>
    <row r="21" spans="1:5">
      <c r="B21" s="5"/>
      <c r="D21" s="1317"/>
      <c r="E21" s="1317"/>
    </row>
    <row r="22" spans="1:5">
      <c r="B22" s="603"/>
      <c r="D22" s="1317"/>
      <c r="E22" s="1317"/>
    </row>
    <row r="23" spans="1:5">
      <c r="B23" s="566"/>
      <c r="C23" s="350"/>
    </row>
    <row r="25" spans="1:5">
      <c r="B25" s="5"/>
    </row>
  </sheetData>
  <sheetProtection password="A4FF" sheet="1" objects="1" scenarios="1"/>
  <mergeCells count="1">
    <mergeCell ref="D18:E22"/>
  </mergeCells>
  <hyperlinks>
    <hyperlink ref="F8"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5" tint="-0.249977111117893"/>
  </sheetPr>
  <dimension ref="A1:AL72"/>
  <sheetViews>
    <sheetView topLeftCell="A34" workbookViewId="0">
      <pane xSplit="1" topLeftCell="B1" activePane="topRight" state="frozen"/>
      <selection pane="topRight" activeCell="D46" sqref="D46"/>
    </sheetView>
  </sheetViews>
  <sheetFormatPr baseColWidth="10" defaultColWidth="8.83203125" defaultRowHeight="14" x14ac:dyDescent="0"/>
  <cols>
    <col min="1" max="1" width="47.33203125" customWidth="1"/>
    <col min="2" max="2" width="13.6640625" customWidth="1"/>
    <col min="3" max="3" width="15" customWidth="1"/>
    <col min="4" max="4" width="15.5" customWidth="1"/>
    <col min="5" max="5" width="12.6640625" customWidth="1"/>
    <col min="6" max="6" width="14.5" customWidth="1"/>
    <col min="7" max="7" width="18.1640625" customWidth="1"/>
    <col min="8" max="8" width="16.5" customWidth="1"/>
    <col min="9" max="9" width="15.5" customWidth="1"/>
    <col min="10" max="10" width="13" customWidth="1"/>
    <col min="11" max="12" width="14.1640625" customWidth="1"/>
    <col min="13" max="13" width="14.33203125" customWidth="1"/>
  </cols>
  <sheetData>
    <row r="1" spans="1:28" ht="31" thickBot="1">
      <c r="A1" s="748" t="s">
        <v>816</v>
      </c>
      <c r="B1" s="572" t="s">
        <v>536</v>
      </c>
      <c r="C1" s="572" t="s">
        <v>861</v>
      </c>
      <c r="D1" s="572" t="s">
        <v>862</v>
      </c>
      <c r="E1" s="572" t="s">
        <v>538</v>
      </c>
      <c r="F1" s="572" t="s">
        <v>863</v>
      </c>
      <c r="G1" s="572" t="s">
        <v>864</v>
      </c>
      <c r="H1" s="572" t="s">
        <v>865</v>
      </c>
      <c r="I1" s="572" t="s">
        <v>866</v>
      </c>
    </row>
    <row r="2" spans="1:28">
      <c r="B2" s="562" t="s">
        <v>535</v>
      </c>
      <c r="C2" s="565" t="s">
        <v>541</v>
      </c>
      <c r="D2" s="926" t="s">
        <v>530</v>
      </c>
      <c r="E2" s="562" t="s">
        <v>535</v>
      </c>
      <c r="F2" s="565" t="s">
        <v>555</v>
      </c>
      <c r="G2" s="926" t="s">
        <v>564</v>
      </c>
      <c r="H2" s="926" t="s">
        <v>568</v>
      </c>
      <c r="I2" s="562" t="s">
        <v>565</v>
      </c>
    </row>
    <row r="3" spans="1:28">
      <c r="A3" s="164" t="s">
        <v>374</v>
      </c>
      <c r="B3" s="564">
        <v>0.5</v>
      </c>
      <c r="C3" s="564">
        <v>6.75</v>
      </c>
      <c r="D3" s="564">
        <v>14.8</v>
      </c>
      <c r="E3" s="564">
        <v>0.46</v>
      </c>
      <c r="F3" s="564">
        <v>1.83</v>
      </c>
      <c r="G3" s="564">
        <v>5.25</v>
      </c>
      <c r="H3" s="564">
        <v>9.1</v>
      </c>
      <c r="I3" s="564">
        <v>10.5</v>
      </c>
      <c r="K3" s="561"/>
      <c r="L3" s="561"/>
      <c r="T3" s="208"/>
      <c r="U3" s="208"/>
      <c r="V3" s="208"/>
      <c r="W3" s="208"/>
      <c r="X3" s="208"/>
    </row>
    <row r="4" spans="1:28">
      <c r="A4" s="164" t="s">
        <v>291</v>
      </c>
      <c r="B4" s="564">
        <f>CONVERT(B3,"kg","lbm")</f>
        <v>1.1023113109243878</v>
      </c>
      <c r="C4" s="564">
        <f t="shared" ref="C4" si="0">CONVERT(C3,"kg","lbm")</f>
        <v>14.881202697479235</v>
      </c>
      <c r="D4" s="564">
        <f t="shared" ref="D4" si="1">CONVERT(D3,"kg","lbm")</f>
        <v>32.628414803361878</v>
      </c>
      <c r="E4" s="564">
        <f t="shared" ref="E4" si="2">CONVERT(E3,"kg","lbm")</f>
        <v>1.0141264060504369</v>
      </c>
      <c r="F4" s="564">
        <f t="shared" ref="F4:H4" si="3">CONVERT(F3,"kg","lbm")</f>
        <v>4.0344593979832597</v>
      </c>
      <c r="G4" s="564">
        <f t="shared" si="3"/>
        <v>11.574268764706073</v>
      </c>
      <c r="H4" s="564">
        <f t="shared" si="3"/>
        <v>20.062065858823861</v>
      </c>
      <c r="I4" s="564">
        <f>CONVERT(I3,"kg","lbm")</f>
        <v>23.148537529412145</v>
      </c>
      <c r="T4" s="208"/>
      <c r="U4" s="585"/>
      <c r="V4" s="585"/>
      <c r="W4" s="208"/>
      <c r="X4" s="208"/>
    </row>
    <row r="5" spans="1:28">
      <c r="A5" s="164"/>
      <c r="I5" s="564"/>
      <c r="T5" s="208"/>
      <c r="U5" s="585"/>
      <c r="V5" s="790"/>
      <c r="W5" s="208"/>
      <c r="X5" s="208"/>
    </row>
    <row r="6" spans="1:28">
      <c r="A6" s="635" t="s">
        <v>550</v>
      </c>
      <c r="B6" s="564">
        <v>0.34</v>
      </c>
      <c r="C6" s="564">
        <v>2.4500000000000002</v>
      </c>
      <c r="D6" s="564">
        <v>4.41</v>
      </c>
      <c r="E6" s="564">
        <v>0.3</v>
      </c>
      <c r="F6" s="564">
        <v>0.86</v>
      </c>
      <c r="G6" s="564">
        <v>1.94</v>
      </c>
      <c r="H6" s="564">
        <f>H8*7</f>
        <v>1.9600000000000002</v>
      </c>
      <c r="I6" s="564">
        <f>I8*7</f>
        <v>1.9949999999999999</v>
      </c>
      <c r="K6" s="249"/>
      <c r="L6" s="249"/>
      <c r="M6" s="564"/>
      <c r="N6" s="564"/>
      <c r="O6" s="564"/>
      <c r="P6" s="564"/>
      <c r="S6" s="569"/>
      <c r="T6" s="208"/>
      <c r="U6" s="208"/>
      <c r="V6" s="208"/>
      <c r="W6" s="208"/>
      <c r="X6" s="208"/>
    </row>
    <row r="7" spans="1:28">
      <c r="A7" s="635" t="s">
        <v>551</v>
      </c>
      <c r="B7" s="564">
        <f t="shared" ref="B7:F7" si="4">CONVERT(B6,"kg","lbm")</f>
        <v>0.74957169142858371</v>
      </c>
      <c r="C7" s="564">
        <f t="shared" si="4"/>
        <v>5.4013254235295003</v>
      </c>
      <c r="D7" s="564">
        <f t="shared" si="4"/>
        <v>9.7223857623531007</v>
      </c>
      <c r="E7" s="564">
        <f t="shared" si="4"/>
        <v>0.66138678655463268</v>
      </c>
      <c r="F7" s="564">
        <f t="shared" si="4"/>
        <v>1.8959754547899472</v>
      </c>
      <c r="G7" s="564">
        <f t="shared" ref="G7:H7" si="5">CONVERT(G6,"kg","lbm")</f>
        <v>4.2769678863866245</v>
      </c>
      <c r="H7" s="564">
        <f t="shared" si="5"/>
        <v>4.3210603388236013</v>
      </c>
      <c r="I7" s="564">
        <f>CONVERT(I6,"kg","lbm")</f>
        <v>4.3982221305883069</v>
      </c>
      <c r="K7" s="249"/>
      <c r="L7" s="249"/>
      <c r="M7" s="564"/>
      <c r="N7" s="564"/>
      <c r="O7" s="564"/>
      <c r="P7" s="564"/>
      <c r="S7" s="569"/>
    </row>
    <row r="8" spans="1:28">
      <c r="A8" s="635" t="s">
        <v>552</v>
      </c>
      <c r="B8" s="564">
        <f>B6/7</f>
        <v>4.8571428571428578E-2</v>
      </c>
      <c r="C8" s="564">
        <f t="shared" ref="C8:F8" si="6">C6/7</f>
        <v>0.35000000000000003</v>
      </c>
      <c r="D8" s="564">
        <f t="shared" si="6"/>
        <v>0.63</v>
      </c>
      <c r="E8" s="564">
        <f t="shared" si="6"/>
        <v>4.2857142857142858E-2</v>
      </c>
      <c r="F8" s="564">
        <f t="shared" si="6"/>
        <v>0.12285714285714286</v>
      </c>
      <c r="G8" s="564">
        <f t="shared" ref="G8" si="7">G6/7</f>
        <v>0.27714285714285714</v>
      </c>
      <c r="H8" s="564">
        <v>0.28000000000000003</v>
      </c>
      <c r="I8" s="564">
        <v>0.28499999999999998</v>
      </c>
      <c r="K8" s="249"/>
      <c r="L8" s="249"/>
      <c r="M8" s="564"/>
      <c r="N8" s="564"/>
      <c r="O8" s="564"/>
      <c r="P8" s="564"/>
      <c r="Q8" s="564"/>
    </row>
    <row r="9" spans="1:28">
      <c r="A9" s="635" t="s">
        <v>553</v>
      </c>
      <c r="B9" s="564">
        <f>B7/7</f>
        <v>0.10708167020408339</v>
      </c>
      <c r="C9" s="564">
        <f t="shared" ref="C9:F9" si="8">C7/7</f>
        <v>0.77161791764707144</v>
      </c>
      <c r="D9" s="564">
        <f t="shared" si="8"/>
        <v>1.3889122517647288</v>
      </c>
      <c r="E9" s="564">
        <f t="shared" si="8"/>
        <v>9.4483826650661809E-2</v>
      </c>
      <c r="F9" s="564">
        <f t="shared" si="8"/>
        <v>0.27085363639856391</v>
      </c>
      <c r="G9" s="564">
        <f t="shared" ref="G9:H9" si="9">G7/7</f>
        <v>0.61099541234094634</v>
      </c>
      <c r="H9" s="564">
        <f t="shared" si="9"/>
        <v>0.61729433411765733</v>
      </c>
      <c r="I9" s="564">
        <f>CONVERT(I8,"kg","lbm")</f>
        <v>0.62831744722690108</v>
      </c>
    </row>
    <row r="10" spans="1:28">
      <c r="A10" s="635" t="s">
        <v>283</v>
      </c>
      <c r="I10" s="564"/>
    </row>
    <row r="11" spans="1:28">
      <c r="A11" s="635" t="s">
        <v>294</v>
      </c>
      <c r="I11" s="564"/>
    </row>
    <row r="12" spans="1:28" ht="15" thickBot="1">
      <c r="A12" s="635" t="s">
        <v>280</v>
      </c>
      <c r="I12" s="564"/>
      <c r="Q12" s="164"/>
      <c r="R12" s="164"/>
      <c r="S12" s="164"/>
      <c r="T12" s="164"/>
    </row>
    <row r="13" spans="1:28">
      <c r="A13" s="642"/>
      <c r="B13" s="564"/>
      <c r="C13" s="564"/>
      <c r="D13" s="564"/>
      <c r="E13" s="564"/>
      <c r="F13" s="564"/>
      <c r="G13" s="564"/>
      <c r="H13" s="564"/>
      <c r="I13" s="564"/>
      <c r="K13" s="564"/>
      <c r="L13" s="718" t="s">
        <v>650</v>
      </c>
      <c r="M13" s="719"/>
      <c r="N13" s="719"/>
      <c r="O13" s="719"/>
      <c r="P13" s="719"/>
      <c r="Q13" s="719"/>
      <c r="R13" s="719"/>
      <c r="S13" s="719"/>
      <c r="T13" s="719"/>
      <c r="U13" s="719"/>
      <c r="V13" s="719"/>
      <c r="W13" s="719"/>
      <c r="X13" s="719"/>
      <c r="Y13" s="719"/>
      <c r="Z13" s="719"/>
      <c r="AA13" s="719"/>
      <c r="AB13" s="699"/>
    </row>
    <row r="14" spans="1:28">
      <c r="A14" s="929" t="s">
        <v>567</v>
      </c>
      <c r="B14" s="930">
        <f>B15*B6</f>
        <v>2.0400000000000001E-3</v>
      </c>
      <c r="C14" s="930">
        <f t="shared" ref="C14:F14" si="10">C15*C6</f>
        <v>1.225E-2</v>
      </c>
      <c r="D14" s="930">
        <f t="shared" si="10"/>
        <v>1.7639999999999999E-2</v>
      </c>
      <c r="E14" s="930">
        <f t="shared" si="10"/>
        <v>1.8E-3</v>
      </c>
      <c r="F14" s="930">
        <f t="shared" si="10"/>
        <v>4.3E-3</v>
      </c>
      <c r="G14" s="931">
        <f t="shared" ref="G14:I14" si="11">G15*G6</f>
        <v>7.7599999999999995E-3</v>
      </c>
      <c r="H14" s="931">
        <f t="shared" si="11"/>
        <v>4.9000000000000007E-3</v>
      </c>
      <c r="I14" s="931">
        <f t="shared" si="11"/>
        <v>6.9825E-3</v>
      </c>
      <c r="K14" s="564"/>
      <c r="L14" s="720"/>
      <c r="M14" s="698"/>
      <c r="N14" s="698"/>
      <c r="O14" s="698"/>
      <c r="P14" s="698"/>
      <c r="Q14" s="698"/>
      <c r="R14" s="698"/>
      <c r="S14" s="698"/>
      <c r="T14" s="698"/>
      <c r="U14" s="698"/>
      <c r="V14" s="698"/>
      <c r="W14" s="698"/>
      <c r="X14" s="698"/>
      <c r="Y14" s="698"/>
      <c r="Z14" s="698"/>
      <c r="AA14" s="698"/>
      <c r="AB14" s="700"/>
    </row>
    <row r="15" spans="1:28">
      <c r="A15" s="929" t="s">
        <v>543</v>
      </c>
      <c r="B15" s="932">
        <v>6.0000000000000001E-3</v>
      </c>
      <c r="C15" s="932">
        <v>5.0000000000000001E-3</v>
      </c>
      <c r="D15" s="932">
        <v>4.0000000000000001E-3</v>
      </c>
      <c r="E15" s="932">
        <v>6.0000000000000001E-3</v>
      </c>
      <c r="F15" s="932">
        <v>5.0000000000000001E-3</v>
      </c>
      <c r="G15" s="932">
        <v>4.0000000000000001E-3</v>
      </c>
      <c r="H15" s="932">
        <v>2.5000000000000001E-3</v>
      </c>
      <c r="I15" s="933">
        <v>3.5000000000000001E-3</v>
      </c>
      <c r="K15" s="564"/>
      <c r="L15" s="744" t="s">
        <v>851</v>
      </c>
      <c r="M15" s="698"/>
      <c r="N15" s="698"/>
      <c r="O15" s="698"/>
      <c r="P15" s="698"/>
      <c r="Q15" s="698"/>
      <c r="R15" s="698"/>
      <c r="S15" s="698"/>
      <c r="T15" s="698"/>
      <c r="U15" s="698"/>
      <c r="V15" s="698"/>
      <c r="W15" s="698"/>
      <c r="X15" s="698"/>
      <c r="Y15" s="698"/>
      <c r="Z15" s="698"/>
      <c r="AA15" s="698"/>
      <c r="AB15" s="700"/>
    </row>
    <row r="16" spans="1:28">
      <c r="A16" s="635" t="s">
        <v>566</v>
      </c>
      <c r="B16" s="564">
        <f>(B35*Feed_Composition!$E9)+(B36*Feed_Composition!$E6)+(B37*Feed_Composition!$E27)+(B38*Feed_Composition!$E28)+(B39*Feed_Composition!$E26)+(B40*Feed_Composition!$E15)+(B41*Feed_Composition!$E7)+(B42*Feed_Composition!$E28)</f>
        <v>9.2512109600000024E-3</v>
      </c>
      <c r="C16" s="564">
        <f>(C35*Feed_Composition!$E9)+(C36*Feed_Composition!$E6)+(C37*Feed_Composition!$E27)+(C38*Feed_Composition!$E28)+(C39*Feed_Composition!$E26)+(C40*Feed_Composition!$E15)+(C41*Feed_Composition!$E7)+(C42*Feed_Composition!$E28)</f>
        <v>0.19908025368000001</v>
      </c>
      <c r="D16" s="564">
        <f>(D35*Feed_Composition!$E9)+(D36*Feed_Composition!$E6)+(D37*Feed_Composition!$E27)+(D38*Feed_Composition!$E28)+(D39*Feed_Composition!$E26)+(D40*Feed_Composition!$E15)+(D41*Feed_Composition!$E7)+(D42*Feed_Composition!$E28)</f>
        <v>0.107151740388</v>
      </c>
      <c r="E16" s="564">
        <f>(E35*Feed_Composition!$E9)+(E36*Feed_Composition!$E6)+(E37*Feed_Composition!$E27)+(E38*Feed_Composition!$E28)+(E39*Feed_Composition!$E26)+(E40*Feed_Composition!$E15)+(E41*Feed_Composition!$E7)+(E42*Feed_Composition!$E28)</f>
        <v>8.1628332000000005E-3</v>
      </c>
      <c r="F16" s="564">
        <f>(F35*Feed_Composition!$E9)+(F36*Feed_Composition!$E6)+(F37*Feed_Composition!$E27)+(F38*Feed_Composition!$E28)+(F39*Feed_Composition!$E26)+(F40*Feed_Composition!$E15)+(F41*Feed_Composition!$E7)+(F42*Feed_Composition!$E28)</f>
        <v>1.9950955530000002E-2</v>
      </c>
      <c r="G16" s="564">
        <f>(G35*Feed_Composition!$E9)+(G36*Feed_Composition!$E6)+(G37*Feed_Composition!$E27)+(G38*Feed_Composition!$E28)+(G39*Feed_Composition!$E26)+(G40*Feed_Composition!$E15)+(G41*Feed_Composition!$E7)+(G42*Feed_Composition!$E28)</f>
        <v>6.4908733400000002E-2</v>
      </c>
      <c r="H16" s="564">
        <f>(H35*Feed_Composition!$E9)+(H36*Feed_Composition!$E6)+(H37*Feed_Composition!$E27)+(H38*Feed_Composition!$E28)+(H39*Feed_Composition!$E26)+(H40*Feed_Composition!$E15)+(H41*Feed_Composition!$E7)+(H42*Feed_Composition!$E28)</f>
        <v>0.206796203712</v>
      </c>
      <c r="I16" s="564">
        <f>(I35*Feed_Composition!$E9)+(I36*Feed_Composition!$E6)+(I37*Feed_Composition!$E27)+(I38*Feed_Composition!$E28)+(I39*Feed_Composition!$E26)+(I40*Feed_Composition!$E15)+(I41*Feed_Composition!$E7)+(I42*Feed_Composition!$E28)</f>
        <v>0.36835573786199999</v>
      </c>
      <c r="J16" s="564"/>
      <c r="K16" s="564"/>
      <c r="L16" s="744"/>
      <c r="M16" s="698"/>
      <c r="N16" s="698"/>
      <c r="O16" s="725"/>
      <c r="P16" s="725"/>
      <c r="Q16" s="725"/>
      <c r="R16" s="725"/>
      <c r="S16" s="725"/>
      <c r="T16" s="725"/>
      <c r="U16" s="725"/>
      <c r="V16" s="698"/>
      <c r="W16" s="698"/>
      <c r="X16" s="698"/>
      <c r="Y16" s="698"/>
      <c r="Z16" s="698"/>
      <c r="AA16" s="698"/>
      <c r="AB16" s="700"/>
    </row>
    <row r="17" spans="1:28">
      <c r="A17" s="635" t="s">
        <v>580</v>
      </c>
      <c r="B17" s="566">
        <f>(B16/28)/B8</f>
        <v>6.8023610000000016E-3</v>
      </c>
      <c r="C17" s="566">
        <f>(C16/84)/C8</f>
        <v>6.7714372E-3</v>
      </c>
      <c r="D17" s="566">
        <f>(D16/28)/D8</f>
        <v>6.0743617000000001E-3</v>
      </c>
      <c r="E17" s="566">
        <f>(E16/28)/E8</f>
        <v>6.8023609999999998E-3</v>
      </c>
      <c r="F17" s="566">
        <f>(F16/21)/F8</f>
        <v>7.7329284999999998E-3</v>
      </c>
      <c r="G17" s="603">
        <f>(G16/49)/G8</f>
        <v>4.7797300000000003E-3</v>
      </c>
      <c r="H17" s="603">
        <f>(H16/112)/H8</f>
        <v>6.5942666999999995E-3</v>
      </c>
      <c r="I17" s="566">
        <f>(I16/196)/I8</f>
        <v>6.5942667000000003E-3</v>
      </c>
      <c r="J17" s="564"/>
      <c r="L17" s="720" t="s">
        <v>860</v>
      </c>
      <c r="M17" s="698"/>
      <c r="N17" s="725"/>
      <c r="O17" s="725"/>
      <c r="P17" s="725"/>
      <c r="Q17" s="725"/>
      <c r="R17" s="725"/>
      <c r="S17" s="725"/>
      <c r="T17" s="725"/>
      <c r="U17" s="725"/>
      <c r="V17" s="698"/>
      <c r="W17" s="698"/>
      <c r="X17" s="698"/>
      <c r="Y17" s="698"/>
      <c r="Z17" s="698"/>
      <c r="AA17" s="698"/>
      <c r="AB17" s="700"/>
    </row>
    <row r="18" spans="1:28">
      <c r="A18" s="635"/>
      <c r="J18" s="564"/>
      <c r="L18" s="721"/>
      <c r="M18" s="725" t="s">
        <v>804</v>
      </c>
      <c r="N18" s="725"/>
      <c r="O18" s="698"/>
      <c r="P18" s="698"/>
      <c r="Q18" s="698"/>
      <c r="R18" s="698"/>
      <c r="S18" s="698"/>
      <c r="T18" s="698"/>
      <c r="U18" s="698"/>
      <c r="V18" s="698"/>
      <c r="W18" s="698"/>
      <c r="X18" s="698"/>
      <c r="Y18" s="698"/>
      <c r="Z18" s="698"/>
      <c r="AA18" s="698"/>
      <c r="AB18" s="700"/>
    </row>
    <row r="19" spans="1:28">
      <c r="A19" s="635"/>
      <c r="J19" s="564"/>
      <c r="L19" s="720" t="s">
        <v>859</v>
      </c>
      <c r="M19" s="698"/>
      <c r="N19" s="698"/>
      <c r="O19" s="698"/>
      <c r="P19" s="698"/>
      <c r="Q19" s="698"/>
      <c r="R19" s="698"/>
      <c r="S19" s="698"/>
      <c r="T19" s="698"/>
      <c r="U19" s="698"/>
      <c r="V19" s="698"/>
      <c r="W19" s="698"/>
      <c r="X19" s="698"/>
      <c r="Y19" s="698"/>
      <c r="Z19" s="698"/>
      <c r="AA19" s="698"/>
      <c r="AB19" s="700"/>
    </row>
    <row r="20" spans="1:28" ht="15" customHeight="1">
      <c r="A20" s="929" t="s">
        <v>545</v>
      </c>
      <c r="B20" s="930">
        <f>B21*B6</f>
        <v>9.5200000000000021E-2</v>
      </c>
      <c r="C20" s="930">
        <f t="shared" ref="C20:F20" si="12">C21*C6</f>
        <v>0.53900000000000003</v>
      </c>
      <c r="D20" s="930">
        <f t="shared" si="12"/>
        <v>0.72765000000000002</v>
      </c>
      <c r="E20" s="930">
        <f t="shared" si="12"/>
        <v>8.4000000000000005E-2</v>
      </c>
      <c r="F20" s="930">
        <f t="shared" si="12"/>
        <v>0.18920000000000001</v>
      </c>
      <c r="G20" s="934">
        <f t="shared" ref="G20:I20" si="13">G21*G6</f>
        <v>0.3201</v>
      </c>
      <c r="H20" s="934">
        <f t="shared" si="13"/>
        <v>0.23520000000000002</v>
      </c>
      <c r="I20" s="934">
        <f t="shared" si="13"/>
        <v>0.27929999999999999</v>
      </c>
      <c r="J20" s="564"/>
      <c r="L20" s="723"/>
      <c r="M20" s="725" t="s">
        <v>563</v>
      </c>
      <c r="N20" s="725"/>
      <c r="O20" s="698"/>
      <c r="P20" s="698"/>
      <c r="Q20" s="698"/>
      <c r="R20" s="698"/>
      <c r="S20" s="698"/>
      <c r="T20" s="698"/>
      <c r="U20" s="698"/>
      <c r="V20" s="698"/>
      <c r="W20" s="698"/>
      <c r="X20" s="698"/>
      <c r="Y20" s="698"/>
      <c r="Z20" s="698"/>
      <c r="AA20" s="698"/>
      <c r="AB20" s="700"/>
    </row>
    <row r="21" spans="1:28">
      <c r="A21" s="929" t="s">
        <v>544</v>
      </c>
      <c r="B21" s="935">
        <v>0.28000000000000003</v>
      </c>
      <c r="C21" s="935">
        <v>0.22</v>
      </c>
      <c r="D21" s="935">
        <v>0.16500000000000001</v>
      </c>
      <c r="E21" s="935">
        <v>0.28000000000000003</v>
      </c>
      <c r="F21" s="935">
        <v>0.22</v>
      </c>
      <c r="G21" s="935">
        <v>0.16500000000000001</v>
      </c>
      <c r="H21" s="935">
        <v>0.12</v>
      </c>
      <c r="I21" s="935">
        <v>0.14000000000000001</v>
      </c>
      <c r="J21" s="564"/>
      <c r="L21" s="723"/>
      <c r="M21" s="698"/>
      <c r="N21" s="725"/>
      <c r="O21" s="698"/>
      <c r="P21" s="698"/>
      <c r="Q21" s="698"/>
      <c r="R21" s="698"/>
      <c r="S21" s="698"/>
      <c r="T21" s="698"/>
      <c r="U21" s="698"/>
      <c r="V21" s="698"/>
      <c r="W21" s="698"/>
      <c r="X21" s="698"/>
      <c r="Y21" s="698"/>
      <c r="Z21" s="698"/>
      <c r="AA21" s="698"/>
      <c r="AB21" s="700"/>
    </row>
    <row r="22" spans="1:28">
      <c r="A22" s="639" t="s">
        <v>479</v>
      </c>
      <c r="B22" s="564">
        <f>(B35*Feed_Composition!$G9)+(B36*Feed_Composition!$G6)+(B37*Feed_Composition!$G27)+(B38*Feed_Composition!$G28)+(B39*Feed_Composition!$G26)+(B40*Feed_Composition!$G15)+(B41*Feed_Composition!$G7)+(B42*Feed_Composition!$G28)</f>
        <v>0.38005674503999998</v>
      </c>
      <c r="C22" s="564">
        <f>(C35*Feed_Composition!$G9)+(C36*Feed_Composition!$G6)+(C37*Feed_Composition!$G27)+(C38*Feed_Composition!$G28)+(C39*Feed_Composition!$G26)+(C40*Feed_Composition!$G15)+(C41*Feed_Composition!$G7)+(C42*Feed_Composition!$G28)</f>
        <v>6.8958585645600001</v>
      </c>
      <c r="D22" s="564">
        <f>(D35*Feed_Composition!$G9)+(D36*Feed_Composition!$G6)+(D37*Feed_Composition!$G27)+(D38*Feed_Composition!$G28)+(D39*Feed_Composition!$G26)+(D40*Feed_Composition!$G15)+(D41*Feed_Composition!$G7)+(D42*Feed_Composition!$G28)</f>
        <v>2.5876744918919994</v>
      </c>
      <c r="E22" s="564">
        <f>(E35*Feed_Composition!$G9)+(E36*Feed_Composition!$G6)+(E37*Feed_Composition!$G27)+(E38*Feed_Composition!$G28)+(E39*Feed_Composition!$G26)+(E40*Feed_Composition!$G15)+(E41*Feed_Composition!$G7)+(E42*Feed_Composition!$G28)</f>
        <v>0.3353441868</v>
      </c>
      <c r="F22" s="564">
        <f>(F35*Feed_Composition!$G9)+(F36*Feed_Composition!$G6)+(F37*Feed_Composition!$G27)+(F38*Feed_Composition!$G28)+(F39*Feed_Composition!$G26)+(F40*Feed_Composition!$G15)+(F41*Feed_Composition!$G7)+(F42*Feed_Composition!$G28)</f>
        <v>0.54863237018999989</v>
      </c>
      <c r="G22" s="564">
        <f>(G35*Feed_Composition!$G9)+(G36*Feed_Composition!$G6)+(G37*Feed_Composition!$G27)+(G38*Feed_Composition!$G28)+(G39*Feed_Composition!$G26)+(G40*Feed_Composition!$G15)+(G41*Feed_Composition!$G7)+(G42*Feed_Composition!$G28)</f>
        <v>2.4173704087399996</v>
      </c>
      <c r="H22" s="564">
        <f>(H35*Feed_Composition!$G9)+(H36*Feed_Composition!$G6)+(H37*Feed_Composition!$G27)+(H38*Feed_Composition!$G28)+(H39*Feed_Composition!$G26)+(H40*Feed_Composition!$G15)+(H41*Feed_Composition!$G7)+(H42*Feed_Composition!$G28)</f>
        <v>4.8457482756479999</v>
      </c>
      <c r="I22" s="564">
        <f>(I35*Feed_Composition!$G9)+(I36*Feed_Composition!$G6)+(I37*Feed_Composition!$G27)+(I38*Feed_Composition!$G28)+(I39*Feed_Composition!$G26)+(I40*Feed_Composition!$G15)+(I41*Feed_Composition!$G7)+(I42*Feed_Composition!$G28)</f>
        <v>8.631489115997999</v>
      </c>
      <c r="J22" s="564"/>
      <c r="K22" s="564"/>
      <c r="L22" s="723" t="s">
        <v>878</v>
      </c>
      <c r="M22" s="698"/>
      <c r="N22" s="698"/>
      <c r="O22" s="698"/>
      <c r="P22" s="698"/>
      <c r="Q22" s="698"/>
      <c r="R22" s="698"/>
      <c r="S22" s="698"/>
      <c r="T22" s="698"/>
      <c r="U22" s="698"/>
      <c r="V22" s="698"/>
      <c r="W22" s="698"/>
      <c r="X22" s="698"/>
      <c r="Y22" s="698"/>
      <c r="Z22" s="698"/>
      <c r="AA22" s="698"/>
      <c r="AB22" s="700"/>
    </row>
    <row r="23" spans="1:28">
      <c r="A23" s="635" t="s">
        <v>290</v>
      </c>
      <c r="B23" s="566">
        <f>(B22/28)/B8</f>
        <v>0.27945348899999994</v>
      </c>
      <c r="C23" s="566">
        <f>(C22/84)/C8</f>
        <v>0.23455301239999998</v>
      </c>
      <c r="D23" s="566">
        <f>(D22/28)/D8</f>
        <v>0.14669356529999997</v>
      </c>
      <c r="E23" s="566">
        <f>(E22/28)/E8</f>
        <v>0.279453489</v>
      </c>
      <c r="F23" s="566">
        <f>(F22/21)/F8</f>
        <v>0.21264820549999996</v>
      </c>
      <c r="G23" s="566">
        <f>(G22/49)/G8</f>
        <v>0.17800960299999996</v>
      </c>
      <c r="H23" s="566">
        <f>(H22/112)/H8</f>
        <v>0.15452003429999997</v>
      </c>
      <c r="I23" s="566">
        <f>(I22/196)/I8</f>
        <v>0.1545200343</v>
      </c>
      <c r="J23" s="564"/>
      <c r="K23" s="623"/>
      <c r="L23" s="723"/>
      <c r="M23" s="725" t="s">
        <v>722</v>
      </c>
      <c r="N23" s="725"/>
      <c r="O23" s="698"/>
      <c r="P23" s="698"/>
      <c r="Q23" s="698"/>
      <c r="R23" s="698"/>
      <c r="S23" s="698"/>
      <c r="T23" s="698"/>
      <c r="U23" s="698"/>
      <c r="V23" s="698"/>
      <c r="W23" s="698"/>
      <c r="X23" s="698"/>
      <c r="Y23" s="698"/>
      <c r="Z23" s="698"/>
      <c r="AA23" s="698"/>
      <c r="AB23" s="700"/>
    </row>
    <row r="24" spans="1:28">
      <c r="J24" s="564"/>
      <c r="L24" s="723"/>
      <c r="M24" s="698"/>
      <c r="N24" s="725"/>
      <c r="O24" s="698"/>
      <c r="P24" s="698"/>
      <c r="Q24" s="698"/>
      <c r="R24" s="698"/>
      <c r="S24" s="698"/>
      <c r="T24" s="698"/>
      <c r="U24" s="698"/>
      <c r="V24" s="698"/>
      <c r="W24" s="698"/>
      <c r="X24" s="698"/>
      <c r="Y24" s="698"/>
      <c r="Z24" s="698"/>
      <c r="AA24" s="698"/>
      <c r="AB24" s="700"/>
    </row>
    <row r="25" spans="1:28">
      <c r="A25" s="164" t="s">
        <v>549</v>
      </c>
      <c r="B25" s="603">
        <f>SUM(B26:B33)</f>
        <v>1</v>
      </c>
      <c r="C25" s="603">
        <f t="shared" ref="C25:F25" si="14">SUM(C26:C33)</f>
        <v>1</v>
      </c>
      <c r="D25" s="603">
        <f t="shared" si="14"/>
        <v>1</v>
      </c>
      <c r="E25" s="603">
        <f t="shared" si="14"/>
        <v>1</v>
      </c>
      <c r="F25" s="603">
        <f t="shared" si="14"/>
        <v>1</v>
      </c>
      <c r="G25" s="603">
        <f>SUM(G26:G33)</f>
        <v>1</v>
      </c>
      <c r="H25" s="603">
        <f t="shared" ref="H25" si="15">SUM(H26:H33)</f>
        <v>1.0000000000000002</v>
      </c>
      <c r="I25" s="603">
        <f t="shared" ref="I25" si="16">SUM(I26:I33)</f>
        <v>1.0000000000000002</v>
      </c>
      <c r="J25" s="564"/>
      <c r="L25" s="721" t="s">
        <v>854</v>
      </c>
      <c r="M25" s="698"/>
      <c r="N25" s="698"/>
      <c r="O25" s="698"/>
      <c r="P25" s="698"/>
      <c r="Q25" s="698"/>
      <c r="R25" s="698"/>
      <c r="S25" s="698"/>
      <c r="T25" s="698"/>
      <c r="U25" s="698"/>
      <c r="V25" s="698"/>
      <c r="W25" s="698"/>
      <c r="X25" s="698"/>
      <c r="Y25" s="698"/>
      <c r="Z25" s="698"/>
      <c r="AA25" s="698"/>
      <c r="AB25" s="700"/>
    </row>
    <row r="26" spans="1:28">
      <c r="A26" t="s">
        <v>363</v>
      </c>
      <c r="B26" s="603">
        <v>0.435</v>
      </c>
      <c r="C26" s="603">
        <v>0.49640000000000001</v>
      </c>
      <c r="D26" s="603">
        <v>0.70550000000000002</v>
      </c>
      <c r="E26" s="603">
        <v>0.435</v>
      </c>
      <c r="F26" s="603">
        <v>0.50249999999999995</v>
      </c>
      <c r="G26" s="603">
        <v>0.59099999999999997</v>
      </c>
      <c r="H26" s="603">
        <v>0.59650000000000003</v>
      </c>
      <c r="I26" s="603">
        <v>0.59650000000000003</v>
      </c>
      <c r="J26" s="564"/>
      <c r="L26" s="721"/>
      <c r="M26" s="1321" t="s">
        <v>857</v>
      </c>
      <c r="N26" s="1321"/>
      <c r="O26" s="1321"/>
      <c r="P26" s="1321"/>
      <c r="Q26" s="1321"/>
      <c r="R26" s="1321"/>
      <c r="S26" s="1321"/>
      <c r="T26" s="1321"/>
      <c r="U26" s="1321"/>
      <c r="V26" s="1321"/>
      <c r="W26" s="1321"/>
      <c r="X26" s="1321"/>
      <c r="Y26" s="1321"/>
      <c r="Z26" s="1321"/>
      <c r="AA26" s="1321"/>
      <c r="AB26" s="1322"/>
    </row>
    <row r="27" spans="1:28">
      <c r="A27" t="s">
        <v>531</v>
      </c>
      <c r="B27" s="603">
        <v>0.504</v>
      </c>
      <c r="C27" s="603">
        <v>0.27800000000000002</v>
      </c>
      <c r="D27" s="603">
        <v>8.48E-2</v>
      </c>
      <c r="E27" s="603">
        <v>0.504</v>
      </c>
      <c r="F27" s="603">
        <v>0.30549999999999999</v>
      </c>
      <c r="G27" s="603">
        <v>0.2195</v>
      </c>
      <c r="H27" s="603">
        <v>0.1178</v>
      </c>
      <c r="I27" s="603">
        <v>0.1178</v>
      </c>
      <c r="J27" s="564"/>
      <c r="L27" s="721"/>
      <c r="M27" s="1321"/>
      <c r="N27" s="1321"/>
      <c r="O27" s="1321"/>
      <c r="P27" s="1321"/>
      <c r="Q27" s="1321"/>
      <c r="R27" s="1321"/>
      <c r="S27" s="1321"/>
      <c r="T27" s="1321"/>
      <c r="U27" s="1321"/>
      <c r="V27" s="1321"/>
      <c r="W27" s="1321"/>
      <c r="X27" s="1321"/>
      <c r="Y27" s="1321"/>
      <c r="Z27" s="1321"/>
      <c r="AA27" s="1321"/>
      <c r="AB27" s="1322"/>
    </row>
    <row r="28" spans="1:28">
      <c r="A28" t="s">
        <v>542</v>
      </c>
      <c r="B28" s="603">
        <v>0</v>
      </c>
      <c r="C28" s="603">
        <v>4.24E-2</v>
      </c>
      <c r="D28" s="603">
        <v>5.5500000000000001E-2</v>
      </c>
      <c r="E28" s="603">
        <v>0</v>
      </c>
      <c r="F28" s="603">
        <v>5.6300000000000003E-2</v>
      </c>
      <c r="G28" s="603">
        <v>5.79E-2</v>
      </c>
      <c r="H28" s="603">
        <v>2.2800000000000001E-2</v>
      </c>
      <c r="I28" s="603">
        <v>2.2800000000000001E-2</v>
      </c>
      <c r="J28" s="564"/>
      <c r="L28" s="721"/>
      <c r="M28" s="1321" t="s">
        <v>856</v>
      </c>
      <c r="N28" s="1321"/>
      <c r="O28" s="1321"/>
      <c r="P28" s="1321"/>
      <c r="Q28" s="1321"/>
      <c r="R28" s="1321"/>
      <c r="S28" s="1321"/>
      <c r="T28" s="1321"/>
      <c r="U28" s="1321"/>
      <c r="V28" s="1321"/>
      <c r="W28" s="1321"/>
      <c r="X28" s="1321"/>
      <c r="Y28" s="1321"/>
      <c r="Z28" s="1321"/>
      <c r="AA28" s="1321"/>
      <c r="AB28" s="1322"/>
    </row>
    <row r="29" spans="1:28">
      <c r="A29" t="s">
        <v>534</v>
      </c>
      <c r="B29" s="603">
        <v>1.9E-2</v>
      </c>
      <c r="C29" s="603">
        <v>0</v>
      </c>
      <c r="D29" s="603">
        <v>0</v>
      </c>
      <c r="E29" s="603">
        <v>1.9E-2</v>
      </c>
      <c r="F29" s="603">
        <v>0</v>
      </c>
      <c r="G29" s="603">
        <v>0</v>
      </c>
      <c r="H29" s="603">
        <v>2.29E-2</v>
      </c>
      <c r="I29" s="603">
        <v>2.29E-2</v>
      </c>
      <c r="J29" s="564"/>
      <c r="L29" s="721"/>
      <c r="M29" s="1321"/>
      <c r="N29" s="1321"/>
      <c r="O29" s="1321"/>
      <c r="P29" s="1321"/>
      <c r="Q29" s="1321"/>
      <c r="R29" s="1321"/>
      <c r="S29" s="1321"/>
      <c r="T29" s="1321"/>
      <c r="U29" s="1321"/>
      <c r="V29" s="1321"/>
      <c r="W29" s="1321"/>
      <c r="X29" s="1321"/>
      <c r="Y29" s="1321"/>
      <c r="Z29" s="1321"/>
      <c r="AA29" s="1321"/>
      <c r="AB29" s="1322"/>
    </row>
    <row r="30" spans="1:28">
      <c r="A30" t="s">
        <v>532</v>
      </c>
      <c r="B30" s="603">
        <v>0</v>
      </c>
      <c r="C30" s="603">
        <v>0.06</v>
      </c>
      <c r="D30" s="603">
        <v>0.05</v>
      </c>
      <c r="E30" s="603">
        <v>0</v>
      </c>
      <c r="F30" s="603">
        <v>0</v>
      </c>
      <c r="G30" s="603">
        <v>0</v>
      </c>
      <c r="H30" s="603">
        <v>5.0999999999999997E-2</v>
      </c>
      <c r="I30" s="603">
        <v>5.0999999999999997E-2</v>
      </c>
      <c r="J30" s="564"/>
      <c r="L30" s="721"/>
      <c r="M30" s="698" t="s">
        <v>855</v>
      </c>
      <c r="N30" s="725"/>
      <c r="O30" s="698"/>
      <c r="P30" s="698"/>
      <c r="Q30" s="698"/>
      <c r="R30" s="698"/>
      <c r="S30" s="698"/>
      <c r="T30" s="698"/>
      <c r="U30" s="698"/>
      <c r="V30" s="698"/>
      <c r="W30" s="698"/>
      <c r="X30" s="698"/>
      <c r="Y30" s="698"/>
      <c r="Z30" s="698"/>
      <c r="AA30" s="698"/>
      <c r="AB30" s="700"/>
    </row>
    <row r="31" spans="1:28">
      <c r="A31" t="s">
        <v>234</v>
      </c>
      <c r="B31" s="603">
        <v>0</v>
      </c>
      <c r="C31" s="603">
        <v>0.1</v>
      </c>
      <c r="D31" s="603">
        <v>0.08</v>
      </c>
      <c r="E31" s="603">
        <v>0</v>
      </c>
      <c r="F31" s="603">
        <v>0.09</v>
      </c>
      <c r="G31" s="603">
        <v>0.09</v>
      </c>
      <c r="H31" s="603">
        <v>0.08</v>
      </c>
      <c r="I31" s="603">
        <v>0.08</v>
      </c>
      <c r="J31" s="564"/>
      <c r="L31" s="721"/>
      <c r="M31" s="698"/>
      <c r="N31" s="725"/>
      <c r="O31" s="698"/>
      <c r="P31" s="698"/>
      <c r="Q31" s="698"/>
      <c r="R31" s="698"/>
      <c r="S31" s="698"/>
      <c r="T31" s="698"/>
      <c r="U31" s="698"/>
      <c r="V31" s="698"/>
      <c r="W31" s="698"/>
      <c r="X31" s="698"/>
      <c r="Y31" s="698"/>
      <c r="Z31" s="698"/>
      <c r="AA31" s="698"/>
      <c r="AB31" s="700"/>
    </row>
    <row r="32" spans="1:28" ht="16">
      <c r="A32" t="s">
        <v>533</v>
      </c>
      <c r="B32" s="603">
        <v>1.2800000000000001E-2</v>
      </c>
      <c r="C32" s="603">
        <v>3.5000000000000001E-3</v>
      </c>
      <c r="D32" s="603">
        <v>6.0899999999999999E-3</v>
      </c>
      <c r="E32" s="603">
        <v>1.2800000000000001E-2</v>
      </c>
      <c r="F32" s="603">
        <v>1.9699999999999999E-2</v>
      </c>
      <c r="G32" s="603">
        <v>6.0000000000000001E-3</v>
      </c>
      <c r="H32" s="603">
        <v>8.9999999999999993E-3</v>
      </c>
      <c r="I32" s="603">
        <v>8.9999999999999993E-3</v>
      </c>
      <c r="J32" s="564"/>
      <c r="L32" s="721" t="s">
        <v>858</v>
      </c>
      <c r="M32" s="698"/>
      <c r="N32" s="698"/>
      <c r="O32" s="698"/>
      <c r="P32" s="698"/>
      <c r="Q32" s="698"/>
      <c r="R32" s="698"/>
      <c r="S32" s="698"/>
      <c r="T32" s="698"/>
      <c r="U32" s="698"/>
      <c r="V32" s="698"/>
      <c r="W32" s="698"/>
      <c r="X32" s="698"/>
      <c r="Y32" s="698"/>
      <c r="Z32" s="698"/>
      <c r="AA32" s="698"/>
      <c r="AB32" s="700"/>
    </row>
    <row r="33" spans="1:38" ht="17" thickBot="1">
      <c r="A33" t="s">
        <v>231</v>
      </c>
      <c r="B33" s="603">
        <f t="shared" ref="B33:C33" si="17">1-(B26+B27+B28+B29+B30+B31+B32)</f>
        <v>2.9199999999999893E-2</v>
      </c>
      <c r="C33" s="603">
        <f t="shared" si="17"/>
        <v>1.9700000000000051E-2</v>
      </c>
      <c r="D33" s="603">
        <f>1-(D26+D27+D28+D29+D30+D31+D32)</f>
        <v>1.8109999999999959E-2</v>
      </c>
      <c r="E33" s="603">
        <f t="shared" ref="E33:F33" si="18">1-(E26+E27+E28+E29+E30+E31+E32)</f>
        <v>2.9199999999999893E-2</v>
      </c>
      <c r="F33" s="603">
        <f t="shared" si="18"/>
        <v>2.6000000000000023E-2</v>
      </c>
      <c r="G33" s="603">
        <f t="shared" ref="G33" si="19">1-(G26+G27+G28+G29+G30+G31+G32)</f>
        <v>3.5600000000000076E-2</v>
      </c>
      <c r="H33" s="603">
        <v>0.1</v>
      </c>
      <c r="I33" s="603">
        <v>0.1</v>
      </c>
      <c r="J33" s="564"/>
      <c r="L33" s="702" t="s">
        <v>853</v>
      </c>
      <c r="M33" s="703"/>
      <c r="N33" s="703"/>
      <c r="O33" s="703"/>
      <c r="P33" s="703"/>
      <c r="Q33" s="703"/>
      <c r="R33" s="703"/>
      <c r="S33" s="703"/>
      <c r="T33" s="703"/>
      <c r="U33" s="703"/>
      <c r="V33" s="703"/>
      <c r="W33" s="703"/>
      <c r="X33" s="703"/>
      <c r="Y33" s="703"/>
      <c r="Z33" s="703"/>
      <c r="AA33" s="703"/>
      <c r="AB33" s="704"/>
    </row>
    <row r="34" spans="1:38">
      <c r="A34" s="164" t="s">
        <v>726</v>
      </c>
      <c r="B34" s="671"/>
      <c r="C34" s="671"/>
      <c r="D34" s="671"/>
      <c r="E34" s="671"/>
      <c r="F34" s="671"/>
      <c r="J34" s="564"/>
    </row>
    <row r="35" spans="1:38">
      <c r="A35" t="s">
        <v>363</v>
      </c>
      <c r="B35" s="564">
        <f>B26*B$8*28*Feed_Composition!D9</f>
        <v>0.52119959999999999</v>
      </c>
      <c r="C35" s="564">
        <f>C26*C$8*12*7*Feed_Composition!D9</f>
        <v>12.857454959999998</v>
      </c>
      <c r="D35" s="564">
        <f>D26*D$8*4*7*Feed_Composition!D9</f>
        <v>10.964062619999998</v>
      </c>
      <c r="E35" s="564">
        <f>E26*E$8*28*Feed_Composition!D9</f>
        <v>0.45988199999999996</v>
      </c>
      <c r="F35" s="564">
        <f>F26*F$8*3*7*Feed_Composition!$D9</f>
        <v>1.1421724499999997</v>
      </c>
      <c r="G35" s="564">
        <f>G26*G$8*7*7*Feed_Composition!$D9</f>
        <v>7.0707121799999983</v>
      </c>
      <c r="H35" s="564">
        <f>H26*H$8*7*16*Feed_Composition!$D9</f>
        <v>16.480197440000001</v>
      </c>
      <c r="I35" s="564">
        <f>I26*I$8*7*28*Feed_Composition!$D9</f>
        <v>29.355351689999996</v>
      </c>
      <c r="J35" s="564"/>
    </row>
    <row r="36" spans="1:38">
      <c r="A36" t="s">
        <v>531</v>
      </c>
      <c r="B36" s="564">
        <f>B27*B$8*28*Feed_Composition!D15</f>
        <v>0.61826688000000007</v>
      </c>
      <c r="C36" s="564">
        <f>C27*C$8*12*7*Feed_Composition!D15</f>
        <v>7.3722264000000015</v>
      </c>
      <c r="D36" s="564">
        <f>D27*D$8*4*7*Feed_Composition!D15</f>
        <v>1.3492765439999999</v>
      </c>
      <c r="E36" s="564">
        <f>E27*E$8*28*Feed_Composition!D15</f>
        <v>0.54552960000000006</v>
      </c>
      <c r="F36" s="564">
        <f>F27*F$8*3*7*Feed_Composition!$D15</f>
        <v>0.71094738000000002</v>
      </c>
      <c r="G36" s="564">
        <f>G27*G$8*7*7*Feed_Composition!$D15</f>
        <v>2.68869062</v>
      </c>
      <c r="H36" s="564">
        <f>H27*H$8*7*16*Feed_Composition!$D15</f>
        <v>3.3321756160000007</v>
      </c>
      <c r="I36" s="564">
        <f>I27*I$8*7*28*Feed_Composition!$D15</f>
        <v>5.9354378159999994</v>
      </c>
      <c r="J36" s="564"/>
    </row>
    <row r="37" spans="1:38">
      <c r="A37" t="s">
        <v>542</v>
      </c>
      <c r="B37" s="564">
        <f t="shared" ref="B37:B42" si="20">B28*B$8*28</f>
        <v>0</v>
      </c>
      <c r="C37" s="564">
        <f t="shared" ref="C37:C42" si="21">C28*C$8*12*7</f>
        <v>1.2465600000000001</v>
      </c>
      <c r="D37" s="564">
        <f t="shared" ref="D37:D42" si="22">D28*D$8*4*7</f>
        <v>0.97902000000000011</v>
      </c>
      <c r="E37" s="564">
        <f t="shared" ref="E37:E42" si="23">E28*E$8*28</f>
        <v>0</v>
      </c>
      <c r="F37" s="564">
        <f>F28*F$8*3*7</f>
        <v>0.14525400000000002</v>
      </c>
      <c r="G37" s="564">
        <f>G28*G$8*7*7</f>
        <v>0.78628199999999993</v>
      </c>
      <c r="H37" s="564">
        <f>H28*H$8*7*16</f>
        <v>0.71500800000000009</v>
      </c>
      <c r="I37" s="564">
        <f>I28*I$8*7*28</f>
        <v>1.2736079999999999</v>
      </c>
      <c r="J37" s="564"/>
      <c r="M37" s="937"/>
    </row>
    <row r="38" spans="1:38">
      <c r="A38" t="s">
        <v>534</v>
      </c>
      <c r="B38" s="564">
        <f t="shared" si="20"/>
        <v>2.5840000000000002E-2</v>
      </c>
      <c r="C38" s="564">
        <f t="shared" si="21"/>
        <v>0</v>
      </c>
      <c r="D38" s="564">
        <f t="shared" si="22"/>
        <v>0</v>
      </c>
      <c r="E38" s="564">
        <f t="shared" si="23"/>
        <v>2.2799999999999997E-2</v>
      </c>
      <c r="F38" s="564">
        <f>F29*F$8*3*7</f>
        <v>0</v>
      </c>
      <c r="G38" s="564">
        <f>G29*G$8*7*7</f>
        <v>0</v>
      </c>
      <c r="H38" s="564">
        <f>H29*H$8*7*16</f>
        <v>0.71814400000000012</v>
      </c>
      <c r="I38" s="564">
        <f>I29*I$8*7*28</f>
        <v>1.2791939999999999</v>
      </c>
      <c r="J38" s="564"/>
    </row>
    <row r="39" spans="1:38">
      <c r="A39" t="s">
        <v>532</v>
      </c>
      <c r="B39" s="564">
        <f>B30*B$8*28*Feed_Composition!D26</f>
        <v>0</v>
      </c>
      <c r="C39" s="564">
        <f>C30*C$8*12*7*Feed_Composition!D26</f>
        <v>1.6758</v>
      </c>
      <c r="D39" s="564">
        <f>D30*D$8*4*7*Feed_Composition!D26</f>
        <v>0.83789999999999998</v>
      </c>
      <c r="E39" s="564">
        <f>E30*E$8*28*Feed_Composition!D26</f>
        <v>0</v>
      </c>
      <c r="F39" s="564">
        <f>F30*F$8*3*7*Feed_Composition!$D26</f>
        <v>0</v>
      </c>
      <c r="G39" s="564">
        <f>G30*G$8*7*7*Feed_Composition!$D26</f>
        <v>0</v>
      </c>
      <c r="H39" s="564">
        <f>H30*H$8*7*16*Feed_Composition!$D26</f>
        <v>1.5193920000000001</v>
      </c>
      <c r="I39" s="564">
        <f>I30*I$8*7*28*Feed_Composition!$D26</f>
        <v>2.7064169999999996</v>
      </c>
      <c r="J39" s="564"/>
    </row>
    <row r="40" spans="1:38">
      <c r="A40" t="s">
        <v>234</v>
      </c>
      <c r="B40" s="564">
        <f>B31*B$8*28*Feed_Composition!D15</f>
        <v>0</v>
      </c>
      <c r="C40" s="564">
        <f>C31*C$8*12*7*Feed_Composition!D15</f>
        <v>2.6518800000000002</v>
      </c>
      <c r="D40" s="564">
        <f>D31*D$8*4*7*Feed_Composition!D15</f>
        <v>1.2729024</v>
      </c>
      <c r="E40" s="564">
        <f>E31*E$8*28*Feed_Composition!D15</f>
        <v>0</v>
      </c>
      <c r="F40" s="564">
        <f>F31*F$8*3*7*Feed_Composition!$D15</f>
        <v>0.20944440000000003</v>
      </c>
      <c r="G40" s="564">
        <f>G31*G$8*7*7*Feed_Composition!$D15</f>
        <v>1.1024244000000001</v>
      </c>
      <c r="H40" s="564">
        <f>H31*H$8*7*16*Feed_Composition!$D15</f>
        <v>2.2629376000000003</v>
      </c>
      <c r="I40" s="564">
        <f>I31*I$8*7*28*Feed_Composition!$D15</f>
        <v>4.0308576</v>
      </c>
      <c r="J40" s="564"/>
    </row>
    <row r="41" spans="1:38">
      <c r="A41" t="s">
        <v>533</v>
      </c>
      <c r="B41" s="564">
        <f t="shared" si="20"/>
        <v>1.7408000000000003E-2</v>
      </c>
      <c r="C41" s="564">
        <f t="shared" si="21"/>
        <v>0.10290000000000001</v>
      </c>
      <c r="D41" s="564">
        <f t="shared" si="22"/>
        <v>0.10742760000000001</v>
      </c>
      <c r="E41" s="564">
        <f t="shared" si="23"/>
        <v>1.5360000000000002E-2</v>
      </c>
      <c r="F41" s="564">
        <f>F32*F$8*3*7</f>
        <v>5.0825999999999996E-2</v>
      </c>
      <c r="G41" s="564">
        <f>G32*G$8*7*7</f>
        <v>8.1479999999999997E-2</v>
      </c>
      <c r="H41" s="564">
        <f>H32*H$8*7*16</f>
        <v>0.28223999999999999</v>
      </c>
      <c r="I41" s="564">
        <f>I32*I$8*7*28</f>
        <v>0.50273999999999996</v>
      </c>
      <c r="J41" s="564"/>
    </row>
    <row r="42" spans="1:38">
      <c r="A42" t="s">
        <v>231</v>
      </c>
      <c r="B42" s="564">
        <f t="shared" si="20"/>
        <v>3.9711999999999859E-2</v>
      </c>
      <c r="C42" s="564">
        <f t="shared" si="21"/>
        <v>0.57918000000000147</v>
      </c>
      <c r="D42" s="564">
        <f t="shared" si="22"/>
        <v>0.31946039999999931</v>
      </c>
      <c r="E42" s="564">
        <f t="shared" si="23"/>
        <v>3.503999999999987E-2</v>
      </c>
      <c r="F42" s="564">
        <f>F33*F$8*3*7</f>
        <v>6.7080000000000056E-2</v>
      </c>
      <c r="G42" s="564">
        <f>G33*G$8*7*7</f>
        <v>0.4834480000000011</v>
      </c>
      <c r="H42" s="564">
        <f>H33*H$8*7*16</f>
        <v>3.1360000000000006</v>
      </c>
      <c r="I42" s="564">
        <f>I33*I$8*7*28</f>
        <v>5.5859999999999994</v>
      </c>
      <c r="J42" s="564"/>
      <c r="AD42" s="8"/>
      <c r="AE42" s="8"/>
      <c r="AF42" s="8"/>
      <c r="AG42" s="8"/>
      <c r="AH42" s="8"/>
      <c r="AI42" s="8"/>
      <c r="AJ42" s="8"/>
      <c r="AK42" s="8"/>
      <c r="AL42" s="8"/>
    </row>
    <row r="43" spans="1:38">
      <c r="A43" s="648"/>
      <c r="B43" s="164"/>
      <c r="C43" s="164"/>
      <c r="D43" s="164"/>
      <c r="E43" s="164"/>
      <c r="F43" s="164"/>
      <c r="G43" s="164"/>
      <c r="H43" s="164"/>
      <c r="I43" s="164"/>
      <c r="J43" s="564"/>
      <c r="K43" s="164"/>
      <c r="L43" s="164"/>
      <c r="AD43" s="8"/>
      <c r="AE43" s="8"/>
      <c r="AF43" s="8"/>
      <c r="AG43" s="8"/>
      <c r="AH43" s="8"/>
      <c r="AI43" s="8"/>
      <c r="AJ43" s="8"/>
      <c r="AK43" s="8"/>
      <c r="AL43" s="8"/>
    </row>
    <row r="44" spans="1:38" ht="15" thickBot="1">
      <c r="A44" s="318" t="s">
        <v>554</v>
      </c>
      <c r="AD44" s="8"/>
      <c r="AE44" s="8"/>
      <c r="AF44" s="8"/>
      <c r="AG44" s="8"/>
      <c r="AH44" s="8"/>
      <c r="AI44" s="8"/>
      <c r="AJ44" s="8"/>
      <c r="AK44" s="8"/>
      <c r="AL44" s="8"/>
    </row>
    <row r="45" spans="1:38" ht="15" customHeight="1">
      <c r="A45" s="205"/>
      <c r="B45" s="710" t="s">
        <v>536</v>
      </c>
      <c r="C45" s="643" t="s">
        <v>537</v>
      </c>
      <c r="D45" s="643" t="s">
        <v>852</v>
      </c>
      <c r="E45" s="643" t="s">
        <v>538</v>
      </c>
      <c r="F45" s="643" t="s">
        <v>539</v>
      </c>
      <c r="G45" s="643" t="s">
        <v>540</v>
      </c>
      <c r="H45" s="677" t="s">
        <v>569</v>
      </c>
      <c r="I45" s="711" t="s">
        <v>570</v>
      </c>
      <c r="J45" s="1297" t="s">
        <v>356</v>
      </c>
      <c r="K45" s="1299" t="s">
        <v>378</v>
      </c>
      <c r="L45" s="784"/>
      <c r="AC45" s="8"/>
      <c r="AD45" s="8"/>
      <c r="AE45" s="8"/>
      <c r="AF45" s="8"/>
      <c r="AG45" s="8"/>
      <c r="AH45" s="8"/>
      <c r="AI45" s="8"/>
      <c r="AJ45" s="8"/>
      <c r="AK45" s="8"/>
      <c r="AL45" s="8"/>
    </row>
    <row r="46" spans="1:38" ht="15" thickBot="1">
      <c r="A46" s="570" t="s">
        <v>276</v>
      </c>
      <c r="B46" s="712">
        <f>IF(TurkeyFlock!B7=0,(TurkeyFlock!B8+TurkeyFlock!B11)/2,TurkeyFlock!B7/2)</f>
        <v>20817877.094972067</v>
      </c>
      <c r="C46" s="640">
        <f>B46</f>
        <v>20817877.094972067</v>
      </c>
      <c r="D46" s="640">
        <f>(C46*0.87)+(TurkeyFlock!B16*4)</f>
        <v>18226807.755504433</v>
      </c>
      <c r="E46" s="640">
        <f>B46</f>
        <v>20817877.094972067</v>
      </c>
      <c r="F46" s="640">
        <f>E46</f>
        <v>20817877.094972067</v>
      </c>
      <c r="G46" s="640">
        <f>F46*0.92</f>
        <v>19152446.927374303</v>
      </c>
      <c r="H46" s="640">
        <f>TurkeyFlock!B18</f>
        <v>489832.40223463689</v>
      </c>
      <c r="I46" s="652">
        <f>TurkeyFlock!B18</f>
        <v>489832.40223463689</v>
      </c>
      <c r="J46" s="1298"/>
      <c r="K46" s="1300"/>
      <c r="L46" s="901"/>
      <c r="AC46" s="8"/>
      <c r="AD46" s="745"/>
      <c r="AE46" s="8"/>
      <c r="AF46" s="8"/>
      <c r="AG46" s="8"/>
      <c r="AH46" s="8"/>
      <c r="AI46" s="8"/>
      <c r="AJ46" s="8"/>
      <c r="AK46" s="8"/>
      <c r="AL46" s="8"/>
    </row>
    <row r="47" spans="1:38" ht="15" thickBot="1">
      <c r="A47" s="570"/>
      <c r="B47" s="1324" t="s">
        <v>480</v>
      </c>
      <c r="C47" s="1315"/>
      <c r="D47" s="1315"/>
      <c r="E47" s="1315"/>
      <c r="F47" s="1325"/>
      <c r="G47" s="1325"/>
      <c r="H47" s="1325"/>
      <c r="I47" s="1326"/>
      <c r="J47" s="650" t="s">
        <v>353</v>
      </c>
      <c r="K47" s="649" t="s">
        <v>184</v>
      </c>
      <c r="L47" s="796"/>
      <c r="AC47" s="8"/>
      <c r="AD47" s="208"/>
      <c r="AE47" s="8"/>
      <c r="AF47" s="8"/>
      <c r="AG47" s="8"/>
      <c r="AH47" s="8"/>
      <c r="AI47" s="8"/>
      <c r="AJ47" s="8"/>
      <c r="AK47" s="8"/>
      <c r="AL47" s="8"/>
    </row>
    <row r="48" spans="1:38">
      <c r="A48" s="570" t="s">
        <v>478</v>
      </c>
      <c r="B48" s="15"/>
      <c r="C48" s="8"/>
      <c r="D48" s="8"/>
      <c r="E48" s="8"/>
      <c r="F48" s="8"/>
      <c r="G48" s="8"/>
      <c r="H48" s="8"/>
      <c r="I48" s="69"/>
      <c r="J48" s="13"/>
      <c r="K48" s="14"/>
      <c r="L48" s="8"/>
      <c r="AC48" s="8"/>
      <c r="AD48" s="8"/>
      <c r="AE48" s="8"/>
      <c r="AF48" s="8"/>
      <c r="AG48" s="8"/>
      <c r="AH48" s="8"/>
      <c r="AI48" s="8"/>
      <c r="AJ48" s="8"/>
      <c r="AK48" s="8"/>
      <c r="AL48" s="8"/>
    </row>
    <row r="49" spans="1:38">
      <c r="A49" t="s">
        <v>363</v>
      </c>
      <c r="B49" s="602">
        <f>B$46*B35</f>
        <v>10850269.214748602</v>
      </c>
      <c r="C49" s="599">
        <f t="shared" ref="C49:G49" si="24">C$46*C35</f>
        <v>267664917.11141896</v>
      </c>
      <c r="D49" s="599">
        <f t="shared" si="24"/>
        <v>199839861.59405223</v>
      </c>
      <c r="E49" s="599">
        <f t="shared" si="24"/>
        <v>9573766.9541899431</v>
      </c>
      <c r="F49" s="599">
        <f t="shared" si="24"/>
        <v>23777605.685363121</v>
      </c>
      <c r="G49" s="599">
        <f t="shared" si="24"/>
        <v>135421439.76618904</v>
      </c>
      <c r="H49" s="599">
        <f t="shared" ref="H49:I49" si="25">H$46*H35</f>
        <v>8072534.701336314</v>
      </c>
      <c r="I49" s="621">
        <f t="shared" si="25"/>
        <v>14379202.436755305</v>
      </c>
      <c r="J49" s="599">
        <f t="shared" ref="J49:J56" si="26">SUM(B49:I49)/907.18474</f>
        <v>738085.16384882468</v>
      </c>
      <c r="K49" s="621">
        <f>J49*Feed_Composition!E9*2000</f>
        <v>4428510.9830929479</v>
      </c>
      <c r="L49" s="599"/>
      <c r="AC49" s="745"/>
      <c r="AD49" s="8"/>
      <c r="AE49" s="8"/>
      <c r="AF49" s="8"/>
      <c r="AG49" s="8"/>
      <c r="AH49" s="8"/>
      <c r="AI49" s="8"/>
      <c r="AJ49" s="8"/>
      <c r="AK49" s="8"/>
      <c r="AL49" s="8"/>
    </row>
    <row r="50" spans="1:38">
      <c r="A50" t="s">
        <v>531</v>
      </c>
      <c r="B50" s="602">
        <f t="shared" ref="B50:G56" si="27">B$46*B36</f>
        <v>12871003.919731844</v>
      </c>
      <c r="C50" s="599">
        <f t="shared" si="27"/>
        <v>153474103.1115084</v>
      </c>
      <c r="D50" s="599">
        <f t="shared" si="27"/>
        <v>24593004.176499415</v>
      </c>
      <c r="E50" s="599">
        <f t="shared" si="27"/>
        <v>11356768.164469276</v>
      </c>
      <c r="F50" s="599">
        <f t="shared" si="27"/>
        <v>14800415.177832402</v>
      </c>
      <c r="G50" s="599">
        <f t="shared" si="27"/>
        <v>51495004.40367911</v>
      </c>
      <c r="H50" s="599">
        <f t="shared" ref="H50:I50" si="28">H$46*H36</f>
        <v>1632207.5866529613</v>
      </c>
      <c r="I50" s="621">
        <f t="shared" si="28"/>
        <v>2907369.7637255862</v>
      </c>
      <c r="J50" s="599">
        <f t="shared" si="26"/>
        <v>301074.15200138721</v>
      </c>
      <c r="K50" s="621">
        <f>J50*Feed_Composition!E6*2000</f>
        <v>4215038.1280194204</v>
      </c>
      <c r="L50" s="599"/>
      <c r="AC50" s="208"/>
      <c r="AD50" s="8"/>
      <c r="AE50" s="8"/>
      <c r="AF50" s="8"/>
      <c r="AG50" s="8"/>
      <c r="AH50" s="8"/>
      <c r="AI50" s="8"/>
      <c r="AJ50" s="8"/>
      <c r="AK50" s="8"/>
      <c r="AL50" s="8"/>
    </row>
    <row r="51" spans="1:38">
      <c r="A51" t="s">
        <v>542</v>
      </c>
      <c r="B51" s="602">
        <f t="shared" si="27"/>
        <v>0</v>
      </c>
      <c r="C51" s="599">
        <f t="shared" si="27"/>
        <v>25950732.871508382</v>
      </c>
      <c r="D51" s="599">
        <f t="shared" si="27"/>
        <v>17844409.32879395</v>
      </c>
      <c r="E51" s="599">
        <f t="shared" si="27"/>
        <v>0</v>
      </c>
      <c r="F51" s="599">
        <f t="shared" si="27"/>
        <v>3023879.9195530731</v>
      </c>
      <c r="G51" s="599">
        <f t="shared" si="27"/>
        <v>15059224.27494972</v>
      </c>
      <c r="H51" s="599">
        <f t="shared" ref="H51:I51" si="29">H$46*H37</f>
        <v>350234.08625698328</v>
      </c>
      <c r="I51" s="621">
        <f t="shared" si="29"/>
        <v>623854.4661452513</v>
      </c>
      <c r="J51" s="599">
        <f t="shared" si="26"/>
        <v>69282.839730314867</v>
      </c>
      <c r="K51" s="621">
        <v>0</v>
      </c>
      <c r="L51" s="599"/>
      <c r="X51" s="8"/>
      <c r="Y51" s="8"/>
      <c r="Z51" s="8"/>
      <c r="AA51" s="8"/>
      <c r="AB51" s="8"/>
      <c r="AC51" s="8"/>
      <c r="AD51" s="8"/>
      <c r="AE51" s="8"/>
      <c r="AF51" s="8"/>
      <c r="AG51" s="8"/>
      <c r="AH51" s="8"/>
      <c r="AI51" s="8"/>
      <c r="AJ51" s="8"/>
      <c r="AK51" s="8"/>
      <c r="AL51" s="8"/>
    </row>
    <row r="52" spans="1:38">
      <c r="A52" t="s">
        <v>534</v>
      </c>
      <c r="B52" s="602">
        <f t="shared" si="27"/>
        <v>537933.94413407822</v>
      </c>
      <c r="C52" s="599">
        <f t="shared" si="27"/>
        <v>0</v>
      </c>
      <c r="D52" s="599">
        <f t="shared" si="27"/>
        <v>0</v>
      </c>
      <c r="E52" s="599">
        <f t="shared" si="27"/>
        <v>474647.59776536305</v>
      </c>
      <c r="F52" s="599">
        <f t="shared" si="27"/>
        <v>0</v>
      </c>
      <c r="G52" s="599">
        <f t="shared" si="27"/>
        <v>0</v>
      </c>
      <c r="H52" s="599">
        <f t="shared" ref="H52:I52" si="30">H$46*H38</f>
        <v>351770.20067039115</v>
      </c>
      <c r="I52" s="621">
        <f t="shared" si="30"/>
        <v>626590.66994413408</v>
      </c>
      <c r="J52" s="599">
        <f t="shared" si="26"/>
        <v>2194.6383407132339</v>
      </c>
      <c r="K52" s="621">
        <f>J52*Feed_Composition!E12*2000</f>
        <v>0</v>
      </c>
      <c r="L52" s="599"/>
      <c r="X52" s="8"/>
      <c r="Y52" s="8"/>
      <c r="Z52" s="8"/>
      <c r="AA52" s="8"/>
      <c r="AB52" s="8"/>
      <c r="AC52" s="596"/>
      <c r="AD52" s="8"/>
      <c r="AE52" s="8"/>
      <c r="AF52" s="8"/>
      <c r="AG52" s="8"/>
      <c r="AH52" s="8"/>
      <c r="AI52" s="8"/>
      <c r="AJ52" s="8"/>
      <c r="AK52" s="8"/>
      <c r="AL52" s="8"/>
    </row>
    <row r="53" spans="1:38">
      <c r="A53" t="s">
        <v>532</v>
      </c>
      <c r="B53" s="602">
        <f t="shared" si="27"/>
        <v>0</v>
      </c>
      <c r="C53" s="599">
        <f t="shared" si="27"/>
        <v>34886598.435754187</v>
      </c>
      <c r="D53" s="599">
        <f t="shared" si="27"/>
        <v>15272242.218337163</v>
      </c>
      <c r="E53" s="599">
        <f t="shared" si="27"/>
        <v>0</v>
      </c>
      <c r="F53" s="599">
        <f t="shared" si="27"/>
        <v>0</v>
      </c>
      <c r="G53" s="599">
        <f t="shared" si="27"/>
        <v>0</v>
      </c>
      <c r="H53" s="599">
        <f t="shared" ref="H53:I53" si="31">H$46*H39</f>
        <v>744247.43329608941</v>
      </c>
      <c r="I53" s="621">
        <f t="shared" si="31"/>
        <v>1325690.7405586592</v>
      </c>
      <c r="J53" s="599">
        <f t="shared" si="26"/>
        <v>57572.373657813187</v>
      </c>
      <c r="K53" s="621">
        <f>J53*Feed_Composition!E26*2000</f>
        <v>4605789.8926250553</v>
      </c>
      <c r="L53" s="599"/>
      <c r="X53" s="8"/>
      <c r="Y53" s="8"/>
      <c r="Z53" s="8"/>
      <c r="AA53" s="8"/>
      <c r="AB53" s="8"/>
      <c r="AC53" s="596"/>
      <c r="AD53" s="8"/>
      <c r="AE53" s="8"/>
      <c r="AF53" s="8"/>
      <c r="AG53" s="8"/>
      <c r="AH53" s="8"/>
      <c r="AI53" s="8"/>
      <c r="AJ53" s="8"/>
      <c r="AK53" s="8"/>
      <c r="AL53" s="8"/>
    </row>
    <row r="54" spans="1:38">
      <c r="A54" t="s">
        <v>234</v>
      </c>
      <c r="B54" s="602">
        <f t="shared" si="27"/>
        <v>0</v>
      </c>
      <c r="C54" s="599">
        <f t="shared" si="27"/>
        <v>55206511.910614528</v>
      </c>
      <c r="D54" s="599">
        <f t="shared" si="27"/>
        <v>23200947.336320207</v>
      </c>
      <c r="E54" s="599">
        <f t="shared" si="27"/>
        <v>0</v>
      </c>
      <c r="F54" s="599">
        <f t="shared" si="27"/>
        <v>4360187.7774301684</v>
      </c>
      <c r="G54" s="599">
        <f t="shared" si="27"/>
        <v>21114124.812442463</v>
      </c>
      <c r="H54" s="599">
        <f t="shared" ref="H54:I54" si="32">H$46*H40</f>
        <v>1108460.1607150841</v>
      </c>
      <c r="I54" s="621">
        <f t="shared" si="32"/>
        <v>1974444.661273743</v>
      </c>
      <c r="J54" s="599">
        <f t="shared" si="26"/>
        <v>117908.37295036092</v>
      </c>
      <c r="K54" s="621">
        <f>J54*Feed_Composition!E15*2000</f>
        <v>1957278.9909759914</v>
      </c>
      <c r="L54" s="599"/>
      <c r="X54" s="8"/>
      <c r="Y54" s="8"/>
      <c r="Z54" s="8"/>
      <c r="AA54" s="8"/>
      <c r="AB54" s="8"/>
      <c r="AC54" s="596"/>
      <c r="AD54" s="8"/>
      <c r="AE54" s="8"/>
      <c r="AF54" s="8"/>
      <c r="AG54" s="8"/>
      <c r="AH54" s="8"/>
      <c r="AI54" s="8"/>
      <c r="AJ54" s="8"/>
      <c r="AK54" s="8"/>
      <c r="AL54" s="8"/>
    </row>
    <row r="55" spans="1:38">
      <c r="A55" t="s">
        <v>533</v>
      </c>
      <c r="B55" s="602">
        <f t="shared" si="27"/>
        <v>362397.60446927382</v>
      </c>
      <c r="C55" s="599">
        <f t="shared" si="27"/>
        <v>2142159.5530726258</v>
      </c>
      <c r="D55" s="599">
        <f t="shared" si="27"/>
        <v>1958062.2128352283</v>
      </c>
      <c r="E55" s="599">
        <f t="shared" si="27"/>
        <v>319762.59217877098</v>
      </c>
      <c r="F55" s="599">
        <f t="shared" si="27"/>
        <v>1058089.4212290503</v>
      </c>
      <c r="G55" s="599">
        <f t="shared" si="27"/>
        <v>1560541.3756424582</v>
      </c>
      <c r="H55" s="599">
        <f t="shared" ref="H55:I55" si="33">H$46*H41</f>
        <v>138250.29720670392</v>
      </c>
      <c r="I55" s="621">
        <f t="shared" si="33"/>
        <v>246258.34189944132</v>
      </c>
      <c r="J55" s="599">
        <f t="shared" si="26"/>
        <v>8582.0682990473942</v>
      </c>
      <c r="K55" s="621">
        <f>J55*Feed_Composition!E7*2000</f>
        <v>3312678.3634322942</v>
      </c>
      <c r="L55" s="599"/>
      <c r="M55" s="572"/>
      <c r="N55" s="573"/>
      <c r="O55" s="573"/>
      <c r="P55" s="573"/>
      <c r="Q55" s="573"/>
      <c r="R55" s="573"/>
      <c r="S55" s="573"/>
      <c r="T55" s="573"/>
      <c r="U55" s="573"/>
      <c r="V55" s="573"/>
      <c r="W55" s="573"/>
      <c r="X55" s="745"/>
      <c r="Y55" s="745"/>
      <c r="Z55" s="745"/>
      <c r="AA55" s="745"/>
      <c r="AB55" s="745"/>
      <c r="AC55" s="596"/>
      <c r="AD55" s="8"/>
      <c r="AE55" s="8"/>
      <c r="AF55" s="8"/>
      <c r="AG55" s="8"/>
      <c r="AH55" s="8"/>
      <c r="AI55" s="8"/>
      <c r="AJ55" s="8"/>
      <c r="AK55" s="8"/>
      <c r="AL55" s="8"/>
    </row>
    <row r="56" spans="1:38">
      <c r="A56" t="s">
        <v>231</v>
      </c>
      <c r="B56" s="602">
        <f t="shared" si="27"/>
        <v>826719.53519552771</v>
      </c>
      <c r="C56" s="599">
        <f t="shared" si="27"/>
        <v>12057298.055865953</v>
      </c>
      <c r="D56" s="599">
        <f t="shared" si="27"/>
        <v>5822743.296296536</v>
      </c>
      <c r="E56" s="599">
        <f t="shared" si="27"/>
        <v>729458.41340781853</v>
      </c>
      <c r="F56" s="599">
        <f t="shared" si="27"/>
        <v>1396463.1955307275</v>
      </c>
      <c r="G56" s="599">
        <f t="shared" si="27"/>
        <v>9259212.1621452738</v>
      </c>
      <c r="H56" s="599">
        <f t="shared" ref="H56:I56" si="34">H$46*H42</f>
        <v>1536114.4134078214</v>
      </c>
      <c r="I56" s="621">
        <f t="shared" si="34"/>
        <v>2736203.7988826814</v>
      </c>
      <c r="J56" s="599">
        <f t="shared" si="26"/>
        <v>37880.060538421683</v>
      </c>
      <c r="K56" s="621">
        <f>J56*Feed_Composition!E16*2000</f>
        <v>0</v>
      </c>
      <c r="L56" s="599"/>
      <c r="M56" s="575"/>
      <c r="N56" s="580"/>
      <c r="O56" s="336"/>
      <c r="P56" s="336"/>
      <c r="Q56" s="336"/>
      <c r="R56" s="336"/>
      <c r="S56" s="580"/>
      <c r="T56" s="580"/>
      <c r="U56" s="580"/>
      <c r="V56" s="580"/>
      <c r="W56" s="580"/>
      <c r="X56" s="746"/>
      <c r="Y56" s="746"/>
      <c r="Z56" s="318"/>
      <c r="AA56" s="208"/>
      <c r="AB56" s="208"/>
      <c r="AC56" s="596"/>
      <c r="AD56" s="8"/>
      <c r="AE56" s="8"/>
      <c r="AF56" s="8"/>
      <c r="AG56" s="8"/>
      <c r="AH56" s="8"/>
      <c r="AI56" s="8"/>
      <c r="AJ56" s="8"/>
      <c r="AK56" s="8"/>
      <c r="AL56" s="8"/>
    </row>
    <row r="57" spans="1:38" ht="15" thickBot="1">
      <c r="A57" s="18"/>
      <c r="B57" s="713"/>
      <c r="C57" s="641"/>
      <c r="D57" s="641"/>
      <c r="E57" s="641"/>
      <c r="F57" s="641"/>
      <c r="G57" s="641"/>
      <c r="H57" s="641"/>
      <c r="I57" s="622"/>
      <c r="J57" s="599"/>
      <c r="K57" s="621"/>
      <c r="L57" s="599"/>
      <c r="M57" s="572"/>
      <c r="X57" s="599"/>
      <c r="Y57" s="8"/>
      <c r="Z57" s="8"/>
      <c r="AA57" s="8"/>
      <c r="AB57" s="8"/>
      <c r="AC57" s="596"/>
      <c r="AD57" s="8"/>
      <c r="AE57" s="8"/>
      <c r="AF57" s="8"/>
      <c r="AG57" s="8"/>
      <c r="AH57" s="8"/>
      <c r="AI57" s="8"/>
      <c r="AJ57" s="8"/>
      <c r="AK57" s="8"/>
      <c r="AL57" s="8"/>
    </row>
    <row r="58" spans="1:38">
      <c r="J58" s="841">
        <f>SUM(J49:J56)</f>
        <v>1332579.6693668831</v>
      </c>
      <c r="K58" s="842">
        <f>SUM(K49:K57)</f>
        <v>18519296.35814571</v>
      </c>
      <c r="L58" s="843" t="s">
        <v>773</v>
      </c>
      <c r="M58" s="940"/>
      <c r="N58" s="5"/>
      <c r="T58" s="623"/>
      <c r="V58" s="566"/>
      <c r="W58" s="564"/>
      <c r="X58" s="599"/>
      <c r="Y58" s="599"/>
      <c r="Z58" s="599"/>
      <c r="AA58" s="596"/>
      <c r="AB58" s="596"/>
      <c r="AC58" s="596"/>
      <c r="AD58" s="8"/>
      <c r="AE58" s="8"/>
      <c r="AF58" s="8"/>
      <c r="AG58" s="8"/>
      <c r="AH58" s="8"/>
      <c r="AI58" s="8"/>
      <c r="AJ58" s="8"/>
      <c r="AK58" s="8"/>
      <c r="AL58" s="8"/>
    </row>
    <row r="59" spans="1:38" ht="15" thickBot="1">
      <c r="J59" s="845" t="s">
        <v>774</v>
      </c>
      <c r="K59" s="846" t="s">
        <v>348</v>
      </c>
      <c r="L59" s="941"/>
      <c r="M59" s="942"/>
      <c r="N59" s="5"/>
      <c r="T59" s="623"/>
      <c r="X59" s="599"/>
      <c r="Y59" s="8"/>
      <c r="Z59" s="8"/>
      <c r="AA59" s="596"/>
      <c r="AB59" s="596"/>
      <c r="AC59" s="596"/>
    </row>
    <row r="60" spans="1:38">
      <c r="N60" s="5"/>
      <c r="T60" s="623"/>
      <c r="X60" s="599"/>
      <c r="Y60" s="8"/>
      <c r="Z60" s="8"/>
      <c r="AA60" s="596"/>
      <c r="AB60" s="596"/>
      <c r="AC60" s="596"/>
    </row>
    <row r="61" spans="1:38">
      <c r="N61" s="5"/>
      <c r="T61" s="623"/>
      <c r="X61" s="599"/>
      <c r="Y61" s="8"/>
      <c r="Z61" s="8"/>
      <c r="AA61" s="596"/>
      <c r="AB61" s="596"/>
      <c r="AC61" s="8"/>
    </row>
    <row r="62" spans="1:38">
      <c r="M62" s="569"/>
      <c r="N62" s="5"/>
      <c r="T62" s="623"/>
      <c r="X62" s="599"/>
      <c r="Y62" s="8"/>
      <c r="Z62" s="8"/>
      <c r="AA62" s="596"/>
      <c r="AB62" s="596"/>
    </row>
    <row r="63" spans="1:38">
      <c r="M63" s="569"/>
      <c r="N63" s="5"/>
      <c r="T63" s="623"/>
      <c r="V63" s="566"/>
      <c r="W63" s="564"/>
      <c r="X63" s="599"/>
      <c r="Y63" s="599"/>
      <c r="Z63" s="599"/>
      <c r="AA63" s="596"/>
      <c r="AB63" s="596"/>
    </row>
    <row r="64" spans="1:38">
      <c r="M64" s="569"/>
      <c r="N64" s="5"/>
      <c r="T64" s="623"/>
      <c r="V64" s="566"/>
      <c r="W64" s="564"/>
      <c r="X64" s="599"/>
      <c r="Y64" s="599"/>
      <c r="Z64" s="599"/>
      <c r="AA64" s="596"/>
      <c r="AB64" s="596"/>
    </row>
    <row r="65" spans="13:28">
      <c r="M65" s="569"/>
      <c r="N65" s="5"/>
      <c r="T65" s="623"/>
      <c r="U65" s="350"/>
      <c r="X65" s="599"/>
      <c r="Y65" s="8"/>
      <c r="Z65" s="8"/>
      <c r="AA65" s="596"/>
      <c r="AB65" s="596"/>
    </row>
    <row r="66" spans="13:28">
      <c r="M66" s="569"/>
      <c r="N66" s="5"/>
      <c r="T66" s="623"/>
      <c r="U66" s="350"/>
      <c r="X66" s="8"/>
      <c r="Y66" s="8"/>
      <c r="Z66" s="8"/>
      <c r="AA66" s="596"/>
      <c r="AB66" s="596"/>
    </row>
    <row r="67" spans="13:28">
      <c r="M67" s="569"/>
      <c r="N67" s="593"/>
      <c r="X67" s="8"/>
      <c r="Y67" s="8"/>
      <c r="Z67" s="8"/>
      <c r="AA67" s="8"/>
      <c r="AB67" s="8"/>
    </row>
    <row r="69" spans="13:28">
      <c r="M69" s="569"/>
    </row>
    <row r="70" spans="13:28">
      <c r="M70" s="569"/>
    </row>
    <row r="71" spans="13:28">
      <c r="M71" s="569"/>
    </row>
    <row r="72" spans="13:28">
      <c r="M72" s="569"/>
    </row>
  </sheetData>
  <sheetProtection password="A4FF" sheet="1" objects="1" scenarios="1"/>
  <mergeCells count="5">
    <mergeCell ref="J45:J46"/>
    <mergeCell ref="K45:K46"/>
    <mergeCell ref="M26:AB27"/>
    <mergeCell ref="M28:AB29"/>
    <mergeCell ref="B47:I4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theme="5" tint="-0.249977111117893"/>
  </sheetPr>
  <dimension ref="A1:X26"/>
  <sheetViews>
    <sheetView workbookViewId="0">
      <selection activeCell="G9" sqref="G9"/>
    </sheetView>
  </sheetViews>
  <sheetFormatPr baseColWidth="10" defaultColWidth="8.83203125" defaultRowHeight="14" x14ac:dyDescent="0"/>
  <cols>
    <col min="1" max="1" width="22.5" customWidth="1"/>
    <col min="2" max="2" width="19.83203125" customWidth="1"/>
    <col min="3" max="3" width="16.33203125" customWidth="1"/>
    <col min="4" max="4" width="13" customWidth="1"/>
    <col min="5" max="5" width="13.83203125" customWidth="1"/>
    <col min="6" max="6" width="15" customWidth="1"/>
    <col min="7" max="7" width="14.5" customWidth="1"/>
    <col min="8" max="8" width="16.6640625" customWidth="1"/>
    <col min="9" max="9" width="13.1640625" customWidth="1"/>
  </cols>
  <sheetData>
    <row r="1" spans="1:24" ht="19" thickBot="1">
      <c r="A1" s="948" t="s">
        <v>816</v>
      </c>
      <c r="B1" s="575"/>
      <c r="C1" s="575"/>
      <c r="D1" s="63"/>
      <c r="E1" s="63"/>
      <c r="F1" s="63"/>
      <c r="G1" s="575"/>
      <c r="H1" s="63"/>
      <c r="I1" s="63"/>
    </row>
    <row r="2" spans="1:24">
      <c r="A2" s="63"/>
      <c r="B2" s="575"/>
      <c r="C2" s="575"/>
      <c r="D2" s="63"/>
      <c r="E2" s="63"/>
      <c r="F2" s="63"/>
      <c r="G2" s="575"/>
      <c r="H2" s="63"/>
      <c r="I2" s="63"/>
    </row>
    <row r="3" spans="1:24">
      <c r="A3" s="63"/>
      <c r="B3" s="575"/>
      <c r="C3" s="575"/>
      <c r="D3" s="667"/>
      <c r="E3" s="63"/>
      <c r="F3" s="63"/>
      <c r="G3" s="575"/>
      <c r="H3" s="63"/>
      <c r="I3" s="63"/>
    </row>
    <row r="4" spans="1:24" ht="15" thickBot="1">
      <c r="A4" s="63"/>
      <c r="B4" s="575"/>
      <c r="C4" s="575"/>
      <c r="D4" s="667"/>
      <c r="E4" s="63"/>
      <c r="F4" s="63"/>
      <c r="G4" s="575"/>
      <c r="H4" s="63"/>
      <c r="I4" s="63"/>
    </row>
    <row r="5" spans="1:24" ht="29" thickBot="1">
      <c r="A5" s="574" t="s">
        <v>334</v>
      </c>
      <c r="B5" s="835" t="s">
        <v>490</v>
      </c>
      <c r="C5" s="835" t="s">
        <v>491</v>
      </c>
      <c r="D5" s="835" t="s">
        <v>869</v>
      </c>
      <c r="E5" s="835" t="s">
        <v>337</v>
      </c>
      <c r="F5" s="835" t="s">
        <v>337</v>
      </c>
      <c r="G5" s="835" t="s">
        <v>335</v>
      </c>
      <c r="H5" s="837" t="s">
        <v>357</v>
      </c>
      <c r="I5" s="838" t="s">
        <v>358</v>
      </c>
    </row>
    <row r="6" spans="1:24" ht="16">
      <c r="A6" s="794"/>
      <c r="B6" s="795" t="s">
        <v>184</v>
      </c>
      <c r="C6" s="795"/>
      <c r="D6" s="1304" t="s">
        <v>339</v>
      </c>
      <c r="E6" s="1304"/>
      <c r="F6" s="902" t="s">
        <v>340</v>
      </c>
      <c r="G6" s="795" t="s">
        <v>930</v>
      </c>
      <c r="H6" s="902" t="s">
        <v>359</v>
      </c>
      <c r="I6" s="797" t="s">
        <v>359</v>
      </c>
      <c r="L6" s="718" t="s">
        <v>650</v>
      </c>
      <c r="M6" s="719"/>
      <c r="N6" s="719"/>
      <c r="O6" s="719"/>
      <c r="P6" s="719"/>
      <c r="Q6" s="719"/>
      <c r="R6" s="719"/>
      <c r="S6" s="719"/>
      <c r="T6" s="719"/>
      <c r="U6" s="719"/>
      <c r="V6" s="719"/>
      <c r="W6" s="719"/>
      <c r="X6" s="699"/>
    </row>
    <row r="7" spans="1:24">
      <c r="A7" s="794"/>
      <c r="B7" s="798"/>
      <c r="C7" s="798"/>
      <c r="D7" s="682"/>
      <c r="E7" s="682"/>
      <c r="F7" s="682"/>
      <c r="G7" s="746"/>
      <c r="H7" s="682"/>
      <c r="I7" s="799"/>
      <c r="L7" s="721"/>
      <c r="M7" s="698"/>
      <c r="N7" s="698"/>
      <c r="O7" s="698"/>
      <c r="P7" s="698"/>
      <c r="Q7" s="698"/>
      <c r="R7" s="698"/>
      <c r="S7" s="698"/>
      <c r="T7" s="698"/>
      <c r="U7" s="698"/>
      <c r="V7" s="698"/>
      <c r="W7" s="698"/>
      <c r="X7" s="700"/>
    </row>
    <row r="8" spans="1:24">
      <c r="A8" s="800" t="s">
        <v>547</v>
      </c>
      <c r="B8" s="801"/>
      <c r="C8" s="801"/>
      <c r="D8" s="802"/>
      <c r="E8" s="802"/>
      <c r="F8" s="802"/>
      <c r="G8" s="803"/>
      <c r="H8" s="802"/>
      <c r="I8" s="804"/>
      <c r="L8" s="1305" t="s">
        <v>811</v>
      </c>
      <c r="M8" s="1306"/>
      <c r="N8" s="1306"/>
      <c r="O8" s="1306"/>
      <c r="P8" s="1306"/>
      <c r="Q8" s="1306"/>
      <c r="R8" s="1306"/>
      <c r="S8" s="1306"/>
      <c r="T8" s="1306"/>
      <c r="U8" s="1306"/>
      <c r="V8" s="1306"/>
      <c r="W8" s="1306"/>
      <c r="X8" s="1307"/>
    </row>
    <row r="9" spans="1:24">
      <c r="A9" s="594" t="s">
        <v>583</v>
      </c>
      <c r="B9" s="682">
        <v>35</v>
      </c>
      <c r="C9" s="682">
        <v>140</v>
      </c>
      <c r="D9" s="783">
        <f>0.0026301312*0.93</f>
        <v>2.4460220160000003E-3</v>
      </c>
      <c r="E9" s="783"/>
      <c r="F9" s="8"/>
      <c r="G9" s="808">
        <f>TurkeyFlock!B9</f>
        <v>18052124.87676635</v>
      </c>
      <c r="H9" s="676">
        <f>C9*D9*G9</f>
        <v>6181825.28378125</v>
      </c>
      <c r="I9" s="809"/>
      <c r="L9" s="1308"/>
      <c r="M9" s="1306"/>
      <c r="N9" s="1306"/>
      <c r="O9" s="1306"/>
      <c r="P9" s="1306"/>
      <c r="Q9" s="1306"/>
      <c r="R9" s="1306"/>
      <c r="S9" s="1306"/>
      <c r="T9" s="1306"/>
      <c r="U9" s="1306"/>
      <c r="V9" s="1306"/>
      <c r="W9" s="1306"/>
      <c r="X9" s="1307"/>
    </row>
    <row r="10" spans="1:24">
      <c r="A10" s="810" t="s">
        <v>585</v>
      </c>
      <c r="B10" s="682">
        <v>35</v>
      </c>
      <c r="C10" s="682">
        <f>C9+(28*4)</f>
        <v>252</v>
      </c>
      <c r="D10" s="646">
        <f>0.00338741028571429*0.93</f>
        <v>3.1502915657142896E-3</v>
      </c>
      <c r="E10" s="646"/>
      <c r="F10" s="783"/>
      <c r="G10" s="808">
        <f>TurkeyFlock!B16</f>
        <v>28813.670719684524</v>
      </c>
      <c r="H10" s="676">
        <f>C10*D10*G10</f>
        <v>22874.408889063718</v>
      </c>
      <c r="I10" s="809"/>
      <c r="J10" s="8"/>
      <c r="K10" s="714"/>
      <c r="L10" s="1291"/>
      <c r="M10" s="1289"/>
      <c r="N10" s="1289"/>
      <c r="O10" s="1289"/>
      <c r="P10" s="1289"/>
      <c r="Q10" s="1289"/>
      <c r="R10" s="1289"/>
      <c r="S10" s="1289"/>
      <c r="T10" s="1289"/>
      <c r="U10" s="1289"/>
      <c r="V10" s="1289"/>
      <c r="W10" s="1289"/>
      <c r="X10" s="1290"/>
    </row>
    <row r="11" spans="1:24">
      <c r="A11" s="594" t="s">
        <v>582</v>
      </c>
      <c r="B11" s="682">
        <v>15</v>
      </c>
      <c r="C11" s="682">
        <v>112</v>
      </c>
      <c r="D11" s="783">
        <f>0.002203047*0.93</f>
        <v>2.0488337100000001E-3</v>
      </c>
      <c r="E11" s="783"/>
      <c r="F11" s="783"/>
      <c r="G11" s="808">
        <f>TurkeyFlock!B12</f>
        <v>2706324.0223463685</v>
      </c>
      <c r="H11" s="676">
        <f>C11*D11*G11</f>
        <v>621018.48336259578</v>
      </c>
      <c r="I11" s="809"/>
      <c r="L11" s="1291"/>
      <c r="M11" s="1289"/>
      <c r="N11" s="1289"/>
      <c r="O11" s="1289"/>
      <c r="P11" s="1289"/>
      <c r="Q11" s="1289"/>
      <c r="R11" s="1289"/>
      <c r="S11" s="1289"/>
      <c r="T11" s="1289"/>
      <c r="U11" s="1289"/>
      <c r="V11" s="1289"/>
      <c r="W11" s="1289"/>
      <c r="X11" s="1290"/>
    </row>
    <row r="12" spans="1:24">
      <c r="A12" s="594"/>
      <c r="B12" s="682"/>
      <c r="C12" s="682"/>
      <c r="D12" s="783"/>
      <c r="E12" s="783"/>
      <c r="F12" s="783"/>
      <c r="G12" s="808"/>
      <c r="H12" s="676"/>
      <c r="I12" s="809"/>
      <c r="L12" s="721"/>
      <c r="M12" s="725" t="s">
        <v>729</v>
      </c>
      <c r="N12" s="698"/>
      <c r="O12" s="698"/>
      <c r="P12" s="698"/>
      <c r="Q12" s="698"/>
      <c r="R12" s="698"/>
      <c r="S12" s="698"/>
      <c r="T12" s="698"/>
      <c r="U12" s="698"/>
      <c r="V12" s="698"/>
      <c r="W12" s="698"/>
      <c r="X12" s="700"/>
    </row>
    <row r="13" spans="1:24">
      <c r="A13" s="800" t="s">
        <v>548</v>
      </c>
      <c r="B13" s="802"/>
      <c r="C13" s="802"/>
      <c r="D13" s="812"/>
      <c r="E13" s="812"/>
      <c r="F13" s="812"/>
      <c r="G13" s="813"/>
      <c r="H13" s="669"/>
      <c r="I13" s="814"/>
      <c r="L13" s="721"/>
      <c r="M13" s="725" t="s">
        <v>728</v>
      </c>
      <c r="N13" s="698"/>
      <c r="O13" s="698"/>
      <c r="P13" s="698"/>
      <c r="Q13" s="698"/>
      <c r="R13" s="698"/>
      <c r="S13" s="698"/>
      <c r="T13" s="698"/>
      <c r="U13" s="698"/>
      <c r="V13" s="698"/>
      <c r="W13" s="698"/>
      <c r="X13" s="700"/>
    </row>
    <row r="14" spans="1:24">
      <c r="A14" s="810" t="s">
        <v>583</v>
      </c>
      <c r="B14" s="682">
        <v>17</v>
      </c>
      <c r="C14" s="682">
        <v>98</v>
      </c>
      <c r="D14" s="783">
        <f>0.00109598708571429*0.93</f>
        <v>1.0192679897142896E-3</v>
      </c>
      <c r="E14" s="783"/>
      <c r="F14" s="8"/>
      <c r="G14" s="808">
        <f>TurkeyFlock!B10</f>
        <v>19211875.12323365</v>
      </c>
      <c r="H14" s="676">
        <f>C14*D14*G14</f>
        <v>1919040.8348790326</v>
      </c>
      <c r="I14" s="809"/>
      <c r="L14" s="904"/>
      <c r="M14" s="905"/>
      <c r="N14" s="905"/>
      <c r="O14" s="905"/>
      <c r="P14" s="905"/>
      <c r="Q14" s="905"/>
      <c r="R14" s="905"/>
      <c r="S14" s="905"/>
      <c r="T14" s="905"/>
      <c r="U14" s="905"/>
      <c r="V14" s="905"/>
      <c r="W14" s="905"/>
      <c r="X14" s="906"/>
    </row>
    <row r="15" spans="1:24" ht="16">
      <c r="A15" s="810" t="s">
        <v>584</v>
      </c>
      <c r="B15" s="682">
        <v>23</v>
      </c>
      <c r="C15" s="682">
        <v>406</v>
      </c>
      <c r="D15" s="781">
        <f>0.0019891909862069*0.93</f>
        <v>1.8499476171724171E-3</v>
      </c>
      <c r="E15" s="783"/>
      <c r="F15" s="783"/>
      <c r="G15" s="808">
        <f>TurkeyFlock!B18</f>
        <v>489832.40223463689</v>
      </c>
      <c r="H15" s="676">
        <f>C15*D15*G15</f>
        <v>367902.69984308979</v>
      </c>
      <c r="I15" s="809"/>
      <c r="L15" s="839" t="s">
        <v>874</v>
      </c>
      <c r="M15" s="698"/>
      <c r="N15" s="905"/>
      <c r="O15" s="905"/>
      <c r="P15" s="905"/>
      <c r="Q15" s="905"/>
      <c r="R15" s="905"/>
      <c r="S15" s="905"/>
      <c r="T15" s="905"/>
      <c r="U15" s="905"/>
      <c r="V15" s="905"/>
      <c r="W15" s="905"/>
      <c r="X15" s="906"/>
    </row>
    <row r="16" spans="1:24" ht="15" customHeight="1">
      <c r="A16" s="810" t="s">
        <v>582</v>
      </c>
      <c r="B16" s="682">
        <v>4</v>
      </c>
      <c r="C16" s="682">
        <v>49</v>
      </c>
      <c r="D16" s="783">
        <v>6.6882900000000002E-4</v>
      </c>
      <c r="E16" s="783"/>
      <c r="F16" s="783"/>
      <c r="G16" s="808">
        <f>TurkeyFlock!B13</f>
        <v>1665430.1675977653</v>
      </c>
      <c r="H16" s="676">
        <f>C16*D16*G16</f>
        <v>54580.511684648045</v>
      </c>
      <c r="I16" s="809"/>
      <c r="L16" s="721"/>
      <c r="M16" s="1327" t="s">
        <v>594</v>
      </c>
      <c r="N16" s="1328"/>
      <c r="O16" s="1328"/>
      <c r="P16" s="1328"/>
      <c r="Q16" s="1328"/>
      <c r="R16" s="1328"/>
      <c r="S16" s="1328"/>
      <c r="T16" s="1328"/>
      <c r="U16" s="1328"/>
      <c r="V16" s="1328"/>
      <c r="W16" s="1328"/>
      <c r="X16" s="1329"/>
    </row>
    <row r="17" spans="1:24">
      <c r="A17" s="594"/>
      <c r="B17" s="682"/>
      <c r="C17" s="682"/>
      <c r="D17" s="783"/>
      <c r="E17" s="783"/>
      <c r="F17" s="783"/>
      <c r="G17" s="808"/>
      <c r="H17" s="676"/>
      <c r="I17" s="809"/>
      <c r="L17" s="721"/>
      <c r="M17" s="1328"/>
      <c r="N17" s="1328"/>
      <c r="O17" s="1328"/>
      <c r="P17" s="1328"/>
      <c r="Q17" s="1328"/>
      <c r="R17" s="1328"/>
      <c r="S17" s="1328"/>
      <c r="T17" s="1328"/>
      <c r="U17" s="1328"/>
      <c r="V17" s="1328"/>
      <c r="W17" s="1328"/>
      <c r="X17" s="1329"/>
    </row>
    <row r="18" spans="1:24" ht="15" thickBot="1">
      <c r="A18" s="818"/>
      <c r="B18" s="819"/>
      <c r="C18" s="819"/>
      <c r="D18" s="820"/>
      <c r="E18" s="820"/>
      <c r="F18" s="820"/>
      <c r="G18" s="821"/>
      <c r="H18" s="822"/>
      <c r="I18" s="823"/>
      <c r="L18" s="702"/>
      <c r="M18" s="703"/>
      <c r="N18" s="703"/>
      <c r="O18" s="703"/>
      <c r="P18" s="703"/>
      <c r="Q18" s="703"/>
      <c r="R18" s="703"/>
      <c r="S18" s="703"/>
      <c r="T18" s="703"/>
      <c r="U18" s="703"/>
      <c r="V18" s="703"/>
      <c r="W18" s="703"/>
      <c r="X18" s="704"/>
    </row>
    <row r="19" spans="1:24">
      <c r="A19" s="645"/>
      <c r="B19" s="686"/>
      <c r="C19" s="575"/>
      <c r="D19" s="583"/>
      <c r="E19" s="583"/>
      <c r="F19" s="583"/>
      <c r="G19" s="618"/>
      <c r="H19" s="597"/>
      <c r="I19" s="597"/>
    </row>
    <row r="20" spans="1:24">
      <c r="B20" s="575"/>
      <c r="C20" s="575"/>
      <c r="D20" s="583"/>
      <c r="E20" s="583"/>
      <c r="F20" s="583"/>
      <c r="G20" s="618"/>
      <c r="H20" s="597"/>
      <c r="I20" s="597"/>
    </row>
    <row r="21" spans="1:24">
      <c r="A21" s="645"/>
      <c r="B21" s="575"/>
      <c r="C21" s="575"/>
      <c r="D21" s="583"/>
      <c r="E21" s="583"/>
      <c r="F21" s="583"/>
      <c r="G21" s="618"/>
      <c r="H21" s="597"/>
      <c r="I21" s="597"/>
    </row>
    <row r="22" spans="1:24">
      <c r="A22" s="645"/>
      <c r="B22" s="575"/>
      <c r="C22" s="575"/>
      <c r="D22" s="583"/>
      <c r="E22" s="583"/>
      <c r="F22" s="583"/>
      <c r="G22" s="618"/>
      <c r="H22" s="597"/>
      <c r="I22" s="597"/>
    </row>
    <row r="23" spans="1:24">
      <c r="A23" s="63"/>
      <c r="B23" s="575"/>
      <c r="C23" s="575"/>
      <c r="D23" s="583"/>
      <c r="E23" s="583"/>
      <c r="F23" s="583"/>
      <c r="G23" s="618"/>
      <c r="H23" s="597"/>
      <c r="I23" s="597"/>
    </row>
    <row r="24" spans="1:24">
      <c r="A24" s="63"/>
      <c r="B24" s="575"/>
      <c r="C24" s="575"/>
      <c r="D24" s="583"/>
      <c r="E24" s="583"/>
      <c r="F24" s="583"/>
      <c r="G24" s="618"/>
      <c r="H24" s="597"/>
      <c r="I24" s="597"/>
    </row>
    <row r="25" spans="1:24">
      <c r="A25" s="63"/>
      <c r="B25" s="575"/>
      <c r="C25" s="575"/>
      <c r="D25" s="63"/>
      <c r="E25" s="63"/>
      <c r="F25" s="943" t="s">
        <v>32</v>
      </c>
      <c r="G25" s="944"/>
      <c r="H25" s="945">
        <f>SUM(H9:H24)</f>
        <v>9167242.2224396802</v>
      </c>
      <c r="I25" s="945"/>
    </row>
    <row r="26" spans="1:24">
      <c r="A26" s="63"/>
      <c r="B26" s="575"/>
      <c r="C26" s="575"/>
      <c r="D26" s="63"/>
      <c r="E26" s="63"/>
      <c r="F26" s="63"/>
      <c r="G26" s="647"/>
      <c r="H26" s="770" t="s">
        <v>870</v>
      </c>
      <c r="I26" s="563"/>
    </row>
  </sheetData>
  <sheetProtection password="A4FF" sheet="1" objects="1" scenarios="1"/>
  <mergeCells count="3">
    <mergeCell ref="D6:E6"/>
    <mergeCell ref="L8:X11"/>
    <mergeCell ref="M16:X1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theme="5" tint="-0.249977111117893"/>
  </sheetPr>
  <dimension ref="A1:AA51"/>
  <sheetViews>
    <sheetView workbookViewId="0">
      <selection activeCell="E10" sqref="E10"/>
    </sheetView>
  </sheetViews>
  <sheetFormatPr baseColWidth="10" defaultColWidth="8.83203125" defaultRowHeight="14" x14ac:dyDescent="0"/>
  <cols>
    <col min="1" max="1" width="39" customWidth="1"/>
    <col min="2" max="3" width="26.33203125" customWidth="1"/>
    <col min="4" max="4" width="24.5" customWidth="1"/>
    <col min="5" max="5" width="15.5" customWidth="1"/>
    <col min="6" max="6" width="13" customWidth="1"/>
  </cols>
  <sheetData>
    <row r="1" spans="1:27" ht="19" thickBot="1">
      <c r="A1" s="748" t="s">
        <v>816</v>
      </c>
      <c r="B1" s="679" t="s">
        <v>1090</v>
      </c>
      <c r="C1" s="679" t="s">
        <v>699</v>
      </c>
      <c r="D1" s="679" t="s">
        <v>1092</v>
      </c>
    </row>
    <row r="2" spans="1:27">
      <c r="A2" s="876" t="s">
        <v>366</v>
      </c>
      <c r="B2" s="1309" t="s">
        <v>812</v>
      </c>
      <c r="C2" s="1309"/>
      <c r="D2" s="1309"/>
      <c r="E2" s="5"/>
      <c r="F2" s="5"/>
      <c r="K2" s="718" t="s">
        <v>650</v>
      </c>
      <c r="L2" s="719"/>
      <c r="M2" s="719"/>
      <c r="N2" s="719"/>
      <c r="O2" s="719"/>
      <c r="P2" s="719"/>
      <c r="Q2" s="719"/>
      <c r="R2" s="719"/>
      <c r="S2" s="719"/>
      <c r="T2" s="719"/>
      <c r="U2" s="719"/>
      <c r="V2" s="719"/>
      <c r="W2" s="719"/>
      <c r="X2" s="719"/>
      <c r="Y2" s="719"/>
      <c r="Z2" s="719"/>
      <c r="AA2" s="699"/>
    </row>
    <row r="3" spans="1:27">
      <c r="A3" t="s">
        <v>787</v>
      </c>
      <c r="B3" s="949">
        <f>Turkey_Nutrient!K58</f>
        <v>18519296.35814571</v>
      </c>
      <c r="C3" s="949"/>
      <c r="D3" s="949"/>
      <c r="E3" s="5"/>
      <c r="F3" s="5"/>
      <c r="K3" s="721"/>
      <c r="L3" s="698"/>
      <c r="M3" s="698"/>
      <c r="N3" s="698"/>
      <c r="O3" s="698"/>
      <c r="P3" s="698"/>
      <c r="Q3" s="698"/>
      <c r="R3" s="698"/>
      <c r="S3" s="698"/>
      <c r="T3" s="698"/>
      <c r="U3" s="698"/>
      <c r="V3" s="698"/>
      <c r="W3" s="698"/>
      <c r="X3" s="698"/>
      <c r="Y3" s="698"/>
      <c r="Z3" s="698"/>
      <c r="AA3" s="700"/>
    </row>
    <row r="4" spans="1:27">
      <c r="A4" t="s">
        <v>788</v>
      </c>
      <c r="B4" s="881">
        <f>Turkey_Nutrient!K55</f>
        <v>3312678.3634322942</v>
      </c>
      <c r="C4" s="949"/>
      <c r="D4" s="949"/>
      <c r="E4" s="5"/>
      <c r="F4" s="5"/>
      <c r="K4" s="849" t="s">
        <v>1096</v>
      </c>
      <c r="L4" s="857"/>
      <c r="M4" s="857"/>
      <c r="N4" s="857"/>
      <c r="O4" s="857"/>
      <c r="P4" s="857"/>
      <c r="Q4" s="857"/>
      <c r="R4" s="857"/>
      <c r="S4" s="857"/>
      <c r="T4" s="857"/>
      <c r="U4" s="857"/>
      <c r="V4" s="857"/>
      <c r="W4" s="698"/>
      <c r="X4" s="698"/>
      <c r="Y4" s="698"/>
      <c r="Z4" s="698"/>
      <c r="AA4" s="700"/>
    </row>
    <row r="5" spans="1:27">
      <c r="A5" t="s">
        <v>360</v>
      </c>
      <c r="B5" s="949"/>
      <c r="C5" s="949">
        <f>Turkey_Manure!H25</f>
        <v>9167242.2224396802</v>
      </c>
      <c r="D5" s="949"/>
      <c r="E5" s="5"/>
      <c r="F5" s="5"/>
      <c r="K5" s="858"/>
      <c r="L5" s="856" t="s">
        <v>703</v>
      </c>
      <c r="M5" s="856"/>
      <c r="N5" s="856"/>
      <c r="O5" s="856"/>
      <c r="P5" s="856"/>
      <c r="Q5" s="856"/>
      <c r="R5" s="856"/>
      <c r="S5" s="856"/>
      <c r="T5" s="856"/>
      <c r="U5" s="857"/>
      <c r="V5" s="857"/>
      <c r="W5" s="698"/>
      <c r="X5" s="698"/>
      <c r="Y5" s="698"/>
      <c r="Z5" s="698"/>
      <c r="AA5" s="700"/>
    </row>
    <row r="6" spans="1:27">
      <c r="A6" t="s">
        <v>571</v>
      </c>
      <c r="B6" s="949"/>
      <c r="C6" s="949"/>
      <c r="D6" s="949">
        <f>((E19*TurkeyFlock!B9)+(TurkeyFlock!B10*TurkeyPBalance!E18))*2.204622</f>
        <v>9301618.8428238537</v>
      </c>
      <c r="E6" s="5"/>
      <c r="F6" s="5"/>
      <c r="K6" s="858"/>
      <c r="L6" s="856"/>
      <c r="M6" s="856"/>
      <c r="N6" s="856"/>
      <c r="O6" s="856"/>
      <c r="P6" s="856"/>
      <c r="Q6" s="856"/>
      <c r="R6" s="856"/>
      <c r="S6" s="856"/>
      <c r="T6" s="856"/>
      <c r="U6" s="857"/>
      <c r="V6" s="857"/>
      <c r="W6" s="698"/>
      <c r="X6" s="698"/>
      <c r="Y6" s="698"/>
      <c r="Z6" s="698"/>
      <c r="AA6" s="700"/>
    </row>
    <row r="7" spans="1:27">
      <c r="A7" t="s">
        <v>818</v>
      </c>
      <c r="B7" s="949"/>
      <c r="C7" s="949"/>
      <c r="D7" s="949">
        <f>((F24*TurkeyFlock!B18*15)+(F25*TurkeyFlock!B7)+(D28))</f>
        <v>3507.500892173518</v>
      </c>
      <c r="E7" s="5"/>
      <c r="F7" s="5"/>
      <c r="K7" s="858" t="s">
        <v>825</v>
      </c>
      <c r="L7" s="857"/>
      <c r="M7" s="857"/>
      <c r="N7" s="857"/>
      <c r="O7" s="857"/>
      <c r="P7" s="857"/>
      <c r="Q7" s="857"/>
      <c r="R7" s="857"/>
      <c r="S7" s="857"/>
      <c r="T7" s="857"/>
      <c r="U7" s="857"/>
      <c r="V7" s="857"/>
      <c r="W7" s="698"/>
      <c r="X7" s="698"/>
      <c r="Y7" s="698"/>
      <c r="Z7" s="698"/>
      <c r="AA7" s="700"/>
    </row>
    <row r="8" spans="1:27">
      <c r="A8" t="s">
        <v>1095</v>
      </c>
      <c r="B8" s="949">
        <f>(TurkeyFlock!B6*F17)+(TurkeyFlock!B19*TurkeyPBalance!F20)+(TurkeyPBalance!F21*TurkeyFlock!B17)</f>
        <v>452861.72452068381</v>
      </c>
      <c r="C8" s="949"/>
      <c r="D8" s="949"/>
      <c r="E8" s="5"/>
      <c r="F8" s="5"/>
      <c r="K8" s="858"/>
      <c r="L8" s="856" t="s">
        <v>826</v>
      </c>
      <c r="M8" s="856"/>
      <c r="N8" s="856"/>
      <c r="O8" s="856"/>
      <c r="P8" s="856"/>
      <c r="Q8" s="856"/>
      <c r="R8" s="856"/>
      <c r="S8" s="856"/>
      <c r="T8" s="856"/>
      <c r="U8" s="857"/>
      <c r="V8" s="856"/>
      <c r="W8" s="698"/>
      <c r="X8" s="698"/>
      <c r="Y8" s="698"/>
      <c r="Z8" s="698"/>
      <c r="AA8" s="700"/>
    </row>
    <row r="9" spans="1:27">
      <c r="B9" s="950"/>
      <c r="C9" s="950"/>
      <c r="D9" s="949"/>
      <c r="E9" s="350"/>
      <c r="F9" s="350"/>
      <c r="K9" s="858"/>
      <c r="L9" s="856"/>
      <c r="M9" s="856"/>
      <c r="N9" s="856"/>
      <c r="O9" s="856"/>
      <c r="P9" s="856"/>
      <c r="Q9" s="856"/>
      <c r="R9" s="856"/>
      <c r="S9" s="856"/>
      <c r="T9" s="856"/>
      <c r="U9" s="857"/>
      <c r="V9" s="856"/>
      <c r="W9" s="698"/>
      <c r="X9" s="698"/>
      <c r="Y9" s="698"/>
      <c r="Z9" s="698"/>
      <c r="AA9" s="700"/>
    </row>
    <row r="10" spans="1:27">
      <c r="A10" s="63" t="s">
        <v>591</v>
      </c>
      <c r="B10" s="950"/>
      <c r="C10" s="949">
        <f>((TurkeyFlock!B12*TurkeyPBalance!E23)+(TurkeyPBalance!E22*TurkeyFlock!B13)+(E22*(TurkeyFlock!B17-TurkeyFlock!B16))+((TurkeyFlock!B19-TurkeyFlock!B18)*TurkeyPBalance!E20))*2.204622</f>
        <v>670768.80933455972</v>
      </c>
      <c r="D10" s="949"/>
      <c r="E10" s="350"/>
      <c r="F10" s="350"/>
      <c r="K10" s="858" t="s">
        <v>875</v>
      </c>
      <c r="L10" s="856"/>
      <c r="M10" s="856"/>
      <c r="N10" s="856"/>
      <c r="O10" s="856"/>
      <c r="P10" s="856"/>
      <c r="Q10" s="856"/>
      <c r="R10" s="856"/>
      <c r="S10" s="856"/>
      <c r="T10" s="856"/>
      <c r="U10" s="857"/>
      <c r="V10" s="856"/>
      <c r="W10" s="698"/>
      <c r="X10" s="698"/>
      <c r="Y10" s="698"/>
      <c r="Z10" s="698"/>
      <c r="AA10" s="700"/>
    </row>
    <row r="11" spans="1:27" ht="15" thickBot="1">
      <c r="B11" s="859"/>
      <c r="C11" s="859"/>
      <c r="D11" s="949"/>
      <c r="E11" s="350"/>
      <c r="F11" s="350"/>
      <c r="K11" s="858"/>
      <c r="L11" s="880" t="s">
        <v>876</v>
      </c>
      <c r="M11" s="856" t="s">
        <v>880</v>
      </c>
      <c r="N11" s="856"/>
      <c r="O11" s="856"/>
      <c r="P11" s="856"/>
      <c r="Q11" s="856"/>
      <c r="R11" s="856"/>
      <c r="S11" s="856"/>
      <c r="T11" s="856"/>
      <c r="U11" s="856"/>
      <c r="V11" s="856"/>
      <c r="W11" s="698"/>
      <c r="X11" s="698"/>
      <c r="Y11" s="698"/>
      <c r="Z11" s="698"/>
      <c r="AA11" s="700"/>
    </row>
    <row r="12" spans="1:27" ht="15" thickBot="1">
      <c r="A12" s="598" t="s">
        <v>376</v>
      </c>
      <c r="B12" s="875">
        <f>(D6+D7)/(B3+B8)</f>
        <v>0.4904621974564668</v>
      </c>
      <c r="C12" s="882"/>
      <c r="D12" s="730"/>
      <c r="K12" s="854"/>
      <c r="L12" s="879" t="s">
        <v>879</v>
      </c>
      <c r="M12" s="877" t="s">
        <v>590</v>
      </c>
      <c r="N12" s="855"/>
      <c r="O12" s="855"/>
      <c r="P12" s="855"/>
      <c r="Q12" s="855"/>
      <c r="R12" s="855"/>
      <c r="S12" s="855"/>
      <c r="T12" s="855"/>
      <c r="U12" s="855"/>
      <c r="V12" s="855"/>
      <c r="W12" s="698"/>
      <c r="X12" s="698"/>
      <c r="Y12" s="698"/>
      <c r="Z12" s="698"/>
      <c r="AA12" s="700"/>
    </row>
    <row r="13" spans="1:27">
      <c r="B13" s="735"/>
      <c r="C13" s="735"/>
      <c r="D13" s="731">
        <f>(B3+B8)-(D6+C5+D7+C10)</f>
        <v>-170979.29282387346</v>
      </c>
      <c r="E13" s="164" t="s">
        <v>931</v>
      </c>
      <c r="F13" s="164"/>
      <c r="K13" s="721"/>
      <c r="L13" s="885"/>
      <c r="M13" s="698"/>
      <c r="N13" s="698"/>
      <c r="O13" s="698"/>
      <c r="P13" s="698"/>
      <c r="Q13" s="698"/>
      <c r="R13" s="698"/>
      <c r="S13" s="698"/>
      <c r="T13" s="698"/>
      <c r="U13" s="698"/>
      <c r="V13" s="698"/>
      <c r="W13" s="698"/>
      <c r="X13" s="698"/>
      <c r="Y13" s="698"/>
      <c r="Z13" s="698"/>
      <c r="AA13" s="700"/>
    </row>
    <row r="14" spans="1:27" ht="15" thickBot="1">
      <c r="B14" s="735"/>
      <c r="C14" s="735"/>
      <c r="D14" s="883">
        <f>D13/B3</f>
        <v>-9.232494016905143E-3</v>
      </c>
      <c r="E14" s="164" t="s">
        <v>379</v>
      </c>
      <c r="F14" s="164"/>
      <c r="K14" s="702" t="s">
        <v>827</v>
      </c>
      <c r="L14" s="703"/>
      <c r="M14" s="703"/>
      <c r="N14" s="703"/>
      <c r="O14" s="703"/>
      <c r="P14" s="703"/>
      <c r="Q14" s="703"/>
      <c r="R14" s="703"/>
      <c r="S14" s="703"/>
      <c r="T14" s="703"/>
      <c r="U14" s="703"/>
      <c r="V14" s="703"/>
      <c r="W14" s="703"/>
      <c r="X14" s="703"/>
      <c r="Y14" s="703"/>
      <c r="Z14" s="703"/>
      <c r="AA14" s="704"/>
    </row>
    <row r="16" spans="1:27" ht="15" customHeight="1">
      <c r="A16" s="8"/>
      <c r="B16" s="8"/>
      <c r="C16" s="886" t="s">
        <v>881</v>
      </c>
      <c r="D16" s="887" t="s">
        <v>877</v>
      </c>
      <c r="E16" s="887" t="s">
        <v>581</v>
      </c>
      <c r="F16" s="887" t="s">
        <v>689</v>
      </c>
      <c r="G16" s="888"/>
      <c r="H16" s="889"/>
    </row>
    <row r="17" spans="1:8">
      <c r="A17" s="8"/>
      <c r="B17" s="620"/>
      <c r="C17" s="959" t="s">
        <v>572</v>
      </c>
      <c r="D17" s="956">
        <v>0.47299999999999998</v>
      </c>
      <c r="E17" s="891">
        <f>0.1*D17*Turkey_Nutrient!B17</f>
        <v>3.2175167530000006E-4</v>
      </c>
      <c r="F17" s="891">
        <f>CONVERT(E17,"kg","lbm")</f>
        <v>7.0934102198412204E-4</v>
      </c>
      <c r="G17" s="697" t="s">
        <v>573</v>
      </c>
      <c r="H17" s="892"/>
    </row>
    <row r="18" spans="1:8">
      <c r="A18" s="8"/>
      <c r="B18" s="620"/>
      <c r="C18" s="959" t="s">
        <v>574</v>
      </c>
      <c r="D18" s="956">
        <v>0.64</v>
      </c>
      <c r="E18" s="717">
        <f>(Turkey_Nutrient!E16+Turkey_Nutrient!F16+Turkey_Nutrient!G16)*D18</f>
        <v>5.9534414163200003E-2</v>
      </c>
      <c r="F18" s="957">
        <f t="shared" ref="F18:F25" si="0">CONVERT(E18,"kg","lbm")</f>
        <v>0.13125091624270488</v>
      </c>
      <c r="G18" s="697" t="s">
        <v>575</v>
      </c>
      <c r="H18" s="892"/>
    </row>
    <row r="19" spans="1:8">
      <c r="A19" s="8"/>
      <c r="B19" s="620"/>
      <c r="C19" s="959" t="s">
        <v>882</v>
      </c>
      <c r="D19" s="956">
        <v>0.54</v>
      </c>
      <c r="E19" s="717">
        <f>(Turkey_Nutrient!B16+Turkey_Nutrient!C16+Turkey_Nutrient!D16)*D19</f>
        <v>0.17036093071512004</v>
      </c>
      <c r="F19" s="957">
        <f t="shared" si="0"/>
        <v>0.37558156173376561</v>
      </c>
      <c r="G19" s="697" t="s">
        <v>576</v>
      </c>
      <c r="H19" s="892"/>
    </row>
    <row r="20" spans="1:8">
      <c r="A20" s="8"/>
      <c r="B20" s="781"/>
      <c r="C20" s="952"/>
      <c r="D20" s="951"/>
      <c r="E20" s="717">
        <f>(Turkey_Nutrient!E16+Turkey_Nutrient!F16+Turkey_Nutrient!G16+Turkey_Nutrient!H16+Turkey_Nutrient!I16)*D19</f>
        <v>0.36081421040015998</v>
      </c>
      <c r="F20" s="957">
        <f t="shared" si="0"/>
        <v>0.79545917053269655</v>
      </c>
      <c r="G20" s="697" t="s">
        <v>578</v>
      </c>
      <c r="H20" s="892"/>
    </row>
    <row r="21" spans="1:8">
      <c r="A21" s="8"/>
      <c r="B21" s="681"/>
      <c r="C21" s="890"/>
      <c r="D21" s="698"/>
      <c r="E21" s="717">
        <f>(Turkey_Nutrient!B16+Turkey_Nutrient!C16+(Turkey_Nutrient!D16*5))*TurkeyPBalance!D19</f>
        <v>0.40180868995320002</v>
      </c>
      <c r="F21" s="957">
        <f t="shared" si="0"/>
        <v>0.88583652752624564</v>
      </c>
      <c r="G21" s="697" t="s">
        <v>579</v>
      </c>
      <c r="H21" s="892"/>
    </row>
    <row r="22" spans="1:8">
      <c r="A22" s="8"/>
      <c r="B22" s="681"/>
      <c r="C22" s="890"/>
      <c r="D22" s="698"/>
      <c r="E22" s="717">
        <f>(Turkey_Nutrient!E16+Turkey_Nutrient!F16)*TurkeyPBalance!D17</f>
        <v>1.329782206929E-2</v>
      </c>
      <c r="F22" s="957">
        <f t="shared" si="0"/>
        <v>2.9316679355276629E-2</v>
      </c>
      <c r="G22" s="697" t="s">
        <v>588</v>
      </c>
      <c r="H22" s="892"/>
    </row>
    <row r="23" spans="1:8">
      <c r="A23" s="8"/>
      <c r="B23" s="681"/>
      <c r="C23" s="890"/>
      <c r="D23" s="698"/>
      <c r="E23" s="717">
        <f>(Turkey_Nutrient!B16+Turkey_Nutrient!C16)*D17</f>
        <v>9.8540782774720004E-2</v>
      </c>
      <c r="F23" s="957">
        <f t="shared" si="0"/>
        <v>0.21724523887983388</v>
      </c>
      <c r="G23" s="697" t="s">
        <v>589</v>
      </c>
      <c r="H23" s="892"/>
    </row>
    <row r="24" spans="1:8">
      <c r="A24" s="8"/>
      <c r="B24" s="681"/>
      <c r="C24" s="890"/>
      <c r="D24" s="698"/>
      <c r="E24" s="717">
        <v>1.4637999999999999E-4</v>
      </c>
      <c r="F24" s="957">
        <f t="shared" si="0"/>
        <v>3.2271265938622375E-4</v>
      </c>
      <c r="G24" s="697" t="s">
        <v>592</v>
      </c>
      <c r="H24" s="892"/>
    </row>
    <row r="25" spans="1:8">
      <c r="A25" s="8"/>
      <c r="B25" s="681"/>
      <c r="C25" s="953"/>
      <c r="D25" s="954"/>
      <c r="E25" s="955">
        <v>1.238E-5</v>
      </c>
      <c r="F25" s="958">
        <f t="shared" si="0"/>
        <v>2.7293228058487843E-5</v>
      </c>
      <c r="G25" s="897" t="s">
        <v>593</v>
      </c>
      <c r="H25" s="898"/>
    </row>
    <row r="31" spans="1:8">
      <c r="B31" s="561"/>
      <c r="C31" s="561"/>
      <c r="D31" s="561"/>
      <c r="E31" s="569"/>
      <c r="F31" s="569"/>
      <c r="G31" s="569"/>
    </row>
    <row r="32" spans="1:8">
      <c r="B32" s="561"/>
      <c r="C32" s="561"/>
      <c r="D32" s="561"/>
      <c r="E32" s="569"/>
      <c r="F32" s="569"/>
      <c r="G32" s="569"/>
    </row>
    <row r="33" spans="1:7">
      <c r="B33" s="561"/>
      <c r="C33" s="561"/>
      <c r="D33" s="561"/>
      <c r="E33" s="569"/>
      <c r="F33" s="569"/>
      <c r="G33" s="569"/>
    </row>
    <row r="34" spans="1:7">
      <c r="B34" s="561"/>
      <c r="C34" s="561"/>
      <c r="D34" s="561"/>
      <c r="E34" s="569"/>
      <c r="F34" s="569"/>
      <c r="G34" s="569"/>
    </row>
    <row r="35" spans="1:7">
      <c r="B35" s="561"/>
      <c r="C35" s="561"/>
      <c r="D35" s="561"/>
      <c r="E35" s="569"/>
      <c r="F35" s="569"/>
      <c r="G35" s="569"/>
    </row>
    <row r="36" spans="1:7">
      <c r="B36" s="561"/>
      <c r="C36" s="561"/>
      <c r="D36" s="561"/>
      <c r="E36" s="569"/>
      <c r="F36" s="569"/>
      <c r="G36" s="569"/>
    </row>
    <row r="37" spans="1:7">
      <c r="A37" s="63"/>
      <c r="B37" s="561"/>
      <c r="C37" s="561"/>
      <c r="D37" s="561"/>
      <c r="E37" s="569"/>
      <c r="F37" s="569"/>
      <c r="G37" s="569"/>
    </row>
    <row r="38" spans="1:7">
      <c r="B38" s="561"/>
      <c r="C38" s="561"/>
      <c r="D38" s="561"/>
      <c r="E38" s="569"/>
      <c r="F38" s="569"/>
      <c r="G38" s="569"/>
    </row>
    <row r="39" spans="1:7">
      <c r="E39" s="678"/>
      <c r="F39" s="678"/>
      <c r="G39" s="678"/>
    </row>
    <row r="40" spans="1:7">
      <c r="E40" s="679"/>
      <c r="F40" s="679"/>
      <c r="G40" s="679"/>
    </row>
    <row r="42" spans="1:7">
      <c r="D42" s="680"/>
    </row>
    <row r="46" spans="1:7">
      <c r="A46" s="164"/>
    </row>
    <row r="51" spans="2:3" ht="15">
      <c r="B51" s="685"/>
      <c r="C51" s="685"/>
    </row>
  </sheetData>
  <sheetProtection password="A4FF" sheet="1" objects="1" scenarios="1"/>
  <mergeCells count="1">
    <mergeCell ref="B2:D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6" tint="-0.249977111117893"/>
  </sheetPr>
  <dimension ref="A1:Z53"/>
  <sheetViews>
    <sheetView workbookViewId="0">
      <selection activeCell="B40" sqref="B40"/>
    </sheetView>
  </sheetViews>
  <sheetFormatPr baseColWidth="10" defaultColWidth="8.83203125" defaultRowHeight="14" x14ac:dyDescent="0"/>
  <cols>
    <col min="1" max="1" width="26.33203125" bestFit="1" customWidth="1"/>
    <col min="2" max="2" width="12.6640625" customWidth="1"/>
    <col min="3" max="3" width="12.6640625" bestFit="1" customWidth="1"/>
    <col min="4" max="4" width="14.33203125" bestFit="1" customWidth="1"/>
    <col min="5" max="5" width="16.33203125" customWidth="1"/>
    <col min="6" max="6" width="14.83203125" customWidth="1"/>
    <col min="7" max="7" width="14.5" bestFit="1" customWidth="1"/>
    <col min="8" max="8" width="11.6640625" bestFit="1" customWidth="1"/>
    <col min="9" max="9" width="8.83203125" style="201"/>
    <col min="11" max="11" width="38.5" customWidth="1"/>
    <col min="12" max="12" width="25.83203125" customWidth="1"/>
    <col min="13" max="13" width="14.5" customWidth="1"/>
  </cols>
  <sheetData>
    <row r="1" spans="1:12" ht="21" customHeight="1" thickTop="1" thickBot="1">
      <c r="A1" s="1081" t="s">
        <v>278</v>
      </c>
      <c r="B1" s="561"/>
      <c r="C1" s="8"/>
      <c r="D1" s="8"/>
      <c r="E1" s="8"/>
      <c r="F1" s="8"/>
    </row>
    <row r="2" spans="1:12" ht="22.5" customHeight="1" thickTop="1" thickBot="1">
      <c r="A2" s="729" t="s">
        <v>277</v>
      </c>
      <c r="B2" s="561"/>
      <c r="C2" s="903"/>
      <c r="D2" s="903"/>
      <c r="E2" s="202"/>
      <c r="F2" s="8"/>
    </row>
    <row r="3" spans="1:12" ht="24.75" customHeight="1" thickBot="1">
      <c r="A3" s="748" t="s">
        <v>948</v>
      </c>
      <c r="B3" s="1011"/>
      <c r="C3" s="903"/>
      <c r="D3" s="903"/>
      <c r="E3" s="202"/>
      <c r="F3" s="8"/>
      <c r="I3" s="1333"/>
      <c r="J3" s="1333"/>
      <c r="K3" s="1333"/>
      <c r="L3" s="1333"/>
    </row>
    <row r="4" spans="1:12" ht="15" thickBot="1">
      <c r="A4" s="903"/>
      <c r="B4" s="903"/>
      <c r="C4" s="903"/>
      <c r="D4" s="903"/>
      <c r="E4" s="202"/>
      <c r="F4" s="8"/>
      <c r="I4" s="1334"/>
      <c r="J4" s="1334"/>
      <c r="K4" s="1334"/>
      <c r="L4" s="1334"/>
    </row>
    <row r="5" spans="1:12" hidden="1">
      <c r="A5" t="s">
        <v>3</v>
      </c>
      <c r="B5" s="5">
        <f>B25</f>
        <v>429396.34801288933</v>
      </c>
      <c r="D5" s="12"/>
      <c r="E5" s="13" t="s">
        <v>20</v>
      </c>
      <c r="F5" s="13" t="s">
        <v>21</v>
      </c>
      <c r="G5" s="13" t="s">
        <v>24</v>
      </c>
      <c r="H5" s="14" t="s">
        <v>25</v>
      </c>
    </row>
    <row r="6" spans="1:12" hidden="1">
      <c r="A6" t="s">
        <v>17</v>
      </c>
      <c r="B6" s="626">
        <v>0.93100000000000005</v>
      </c>
      <c r="C6">
        <f>MROUND(B$5*B6, 1)</f>
        <v>399768</v>
      </c>
      <c r="D6" s="15" t="s">
        <v>19</v>
      </c>
      <c r="E6" s="16">
        <f>MROUND($C6/2,1)</f>
        <v>199884</v>
      </c>
      <c r="F6" s="16">
        <f>MROUND($C6/2,1)</f>
        <v>199884</v>
      </c>
      <c r="G6" s="16">
        <f>E6+F6</f>
        <v>399768</v>
      </c>
      <c r="H6" s="17">
        <f>G6/B$5</f>
        <v>0.93100000000000005</v>
      </c>
    </row>
    <row r="7" spans="1:12" hidden="1">
      <c r="A7" t="s">
        <v>18</v>
      </c>
      <c r="B7" s="626">
        <v>0.874</v>
      </c>
      <c r="C7">
        <f>MROUND(B$5*B7, 1)</f>
        <v>375292</v>
      </c>
      <c r="D7" s="15" t="s">
        <v>22</v>
      </c>
      <c r="E7" s="16">
        <f>MROUND($C7/2,1)</f>
        <v>187646</v>
      </c>
      <c r="F7" s="16">
        <f>MROUND($C7/2,1)</f>
        <v>187646</v>
      </c>
      <c r="G7" s="16">
        <f>E7+F7</f>
        <v>375292</v>
      </c>
      <c r="H7" s="17">
        <f>G7/B$5</f>
        <v>0.87399904944868034</v>
      </c>
    </row>
    <row r="8" spans="1:12" ht="15" hidden="1" thickBot="1">
      <c r="A8" t="s">
        <v>41</v>
      </c>
      <c r="B8" s="626">
        <v>0.17399999999999999</v>
      </c>
      <c r="C8">
        <f>MROUND(B$5*B8, 1)</f>
        <v>74715</v>
      </c>
      <c r="D8" s="18" t="s">
        <v>23</v>
      </c>
      <c r="E8" s="19">
        <f>E7-0</f>
        <v>187646</v>
      </c>
      <c r="F8" s="19">
        <f>F7-C8</f>
        <v>112931</v>
      </c>
      <c r="G8" s="19">
        <f>E8+F8</f>
        <v>300577</v>
      </c>
      <c r="H8" s="20">
        <f>G8/B$5</f>
        <v>0.69999896690080254</v>
      </c>
    </row>
    <row r="9" spans="1:12" ht="15.75" hidden="1" customHeight="1" thickBot="1">
      <c r="A9" s="199" t="s">
        <v>49</v>
      </c>
      <c r="B9" s="60"/>
      <c r="C9" s="60" t="s">
        <v>20</v>
      </c>
      <c r="D9" s="60" t="s">
        <v>21</v>
      </c>
      <c r="E9" s="60" t="s">
        <v>28</v>
      </c>
      <c r="F9" s="60"/>
      <c r="J9" s="350"/>
    </row>
    <row r="10" spans="1:12" ht="15" hidden="1" thickTop="1">
      <c r="A10" t="s">
        <v>29</v>
      </c>
      <c r="B10" s="627">
        <v>0.63390000000000002</v>
      </c>
      <c r="C10">
        <f t="shared" ref="C10:D12" si="0">MROUND(E$6*$B10,1)</f>
        <v>126706</v>
      </c>
      <c r="D10">
        <f t="shared" si="0"/>
        <v>126706</v>
      </c>
      <c r="E10" s="59">
        <f>C10</f>
        <v>126706</v>
      </c>
      <c r="F10" s="59">
        <f>D10</f>
        <v>126706</v>
      </c>
    </row>
    <row r="11" spans="1:12" hidden="1">
      <c r="A11" t="s">
        <v>30</v>
      </c>
      <c r="B11" s="627">
        <v>0.25419999999999998</v>
      </c>
      <c r="C11">
        <f t="shared" si="0"/>
        <v>50811</v>
      </c>
      <c r="D11">
        <f t="shared" si="0"/>
        <v>50811</v>
      </c>
      <c r="E11" s="7">
        <f>E10+C11</f>
        <v>177517</v>
      </c>
      <c r="F11" s="7">
        <f>F10+D11</f>
        <v>177517</v>
      </c>
    </row>
    <row r="12" spans="1:12" ht="15" hidden="1" thickBot="1">
      <c r="A12" t="s">
        <v>31</v>
      </c>
      <c r="B12" s="627">
        <v>6.4699999999999994E-2</v>
      </c>
      <c r="C12">
        <f t="shared" si="0"/>
        <v>12932</v>
      </c>
      <c r="D12">
        <f t="shared" si="0"/>
        <v>12932</v>
      </c>
      <c r="E12" s="7">
        <f>E11+C12</f>
        <v>190449</v>
      </c>
      <c r="F12" s="7">
        <f>F11+D12</f>
        <v>190449</v>
      </c>
    </row>
    <row r="13" spans="1:12" ht="16" hidden="1" thickTop="1" thickBot="1">
      <c r="A13" t="s">
        <v>32</v>
      </c>
      <c r="B13">
        <f>SUM(B10:B12)</f>
        <v>0.95279999999999998</v>
      </c>
      <c r="C13" s="58">
        <f>SUM(C10:C12)</f>
        <v>190449</v>
      </c>
      <c r="D13" s="58">
        <f>SUM(D10:D12)</f>
        <v>190449</v>
      </c>
    </row>
    <row r="14" spans="1:12" ht="16" hidden="1" thickTop="1" thickBot="1">
      <c r="A14" s="199" t="s">
        <v>33</v>
      </c>
      <c r="B14" s="60"/>
      <c r="C14" s="60" t="s">
        <v>20</v>
      </c>
      <c r="D14" s="60" t="s">
        <v>21</v>
      </c>
      <c r="E14" s="60" t="s">
        <v>34</v>
      </c>
      <c r="F14" s="60"/>
      <c r="G14" s="208"/>
      <c r="H14" s="208"/>
    </row>
    <row r="15" spans="1:12" ht="15" hidden="1" thickTop="1">
      <c r="A15" s="63" t="s">
        <v>36</v>
      </c>
      <c r="B15" s="627">
        <v>6.7000000000000004E-2</v>
      </c>
      <c r="C15">
        <f>MROUND(E$6*$B15,1)</f>
        <v>13392</v>
      </c>
      <c r="D15">
        <f>MROUND(F$6*$B15,1)</f>
        <v>13392</v>
      </c>
      <c r="E15" s="59">
        <f>C15</f>
        <v>13392</v>
      </c>
      <c r="F15" s="1068">
        <f>D15</f>
        <v>13392</v>
      </c>
      <c r="G15" s="208"/>
      <c r="H15" s="208"/>
    </row>
    <row r="16" spans="1:12" hidden="1">
      <c r="A16" t="s">
        <v>32</v>
      </c>
      <c r="B16" s="566"/>
      <c r="C16">
        <f>SUM(C15:C15)</f>
        <v>13392</v>
      </c>
      <c r="D16">
        <f>SUM(D15:D15)</f>
        <v>13392</v>
      </c>
      <c r="G16" s="208"/>
      <c r="H16" s="208"/>
    </row>
    <row r="17" spans="1:26" hidden="1">
      <c r="A17" t="s">
        <v>37</v>
      </c>
      <c r="B17" s="627">
        <v>1.4E-2</v>
      </c>
      <c r="C17">
        <f>MROUND(E$8*$B17,1)</f>
        <v>2627</v>
      </c>
      <c r="D17">
        <f>MROUND(F$8*$B17,1)</f>
        <v>1581</v>
      </c>
      <c r="E17" s="7">
        <f>C17</f>
        <v>2627</v>
      </c>
      <c r="F17" s="1069">
        <f>D17</f>
        <v>1581</v>
      </c>
      <c r="G17" s="208"/>
      <c r="H17" s="208"/>
    </row>
    <row r="18" spans="1:26" hidden="1">
      <c r="A18" t="s">
        <v>50</v>
      </c>
      <c r="B18" s="627">
        <v>1.4E-2</v>
      </c>
      <c r="C18">
        <v>0</v>
      </c>
      <c r="D18">
        <f>MROUND(C$8*$B18,1)</f>
        <v>1046</v>
      </c>
      <c r="E18" s="7">
        <f>C18</f>
        <v>0</v>
      </c>
      <c r="F18" s="1069">
        <f>D18</f>
        <v>1046</v>
      </c>
      <c r="G18" s="208"/>
      <c r="H18" s="208"/>
    </row>
    <row r="19" spans="1:26" ht="15" hidden="1" thickBot="1">
      <c r="A19" t="s">
        <v>38</v>
      </c>
      <c r="C19" t="s">
        <v>20</v>
      </c>
      <c r="D19" t="s">
        <v>21</v>
      </c>
      <c r="G19" s="208"/>
      <c r="H19" s="208"/>
    </row>
    <row r="20" spans="1:26" ht="16" hidden="1" thickTop="1" thickBot="1">
      <c r="A20" t="s">
        <v>39</v>
      </c>
      <c r="C20" s="7">
        <f>E8-C17</f>
        <v>185019</v>
      </c>
      <c r="D20" s="7">
        <f>F8-D17</f>
        <v>111350</v>
      </c>
      <c r="E20" s="1067">
        <f>C20+D20</f>
        <v>296369</v>
      </c>
      <c r="F20" s="1066"/>
      <c r="G20" s="208"/>
      <c r="H20" s="208"/>
    </row>
    <row r="21" spans="1:26" ht="23.25" hidden="1" customHeight="1" thickTop="1" thickBot="1">
      <c r="A21" t="s">
        <v>40</v>
      </c>
      <c r="C21" s="7">
        <v>0</v>
      </c>
      <c r="D21" s="7">
        <f>C8-D18</f>
        <v>73669</v>
      </c>
      <c r="E21" s="1071">
        <f>C21+D21</f>
        <v>73669</v>
      </c>
      <c r="G21" s="208"/>
      <c r="H21" s="208"/>
    </row>
    <row r="22" spans="1:26" ht="16" hidden="1" thickTop="1" thickBot="1">
      <c r="A22" s="63"/>
      <c r="B22" s="63"/>
      <c r="C22" s="63"/>
      <c r="D22" s="63"/>
      <c r="E22" s="1070"/>
      <c r="F22" t="s">
        <v>35</v>
      </c>
      <c r="G22" s="208"/>
      <c r="H22" s="208"/>
    </row>
    <row r="23" spans="1:26">
      <c r="A23" s="1082"/>
      <c r="B23" s="1083"/>
      <c r="G23" s="208"/>
      <c r="H23" s="718" t="s">
        <v>650</v>
      </c>
      <c r="I23" s="719"/>
      <c r="J23" s="719"/>
      <c r="K23" s="719"/>
      <c r="L23" s="719"/>
      <c r="M23" s="719"/>
      <c r="N23" s="719"/>
      <c r="O23" s="719"/>
      <c r="P23" s="719"/>
      <c r="Q23" s="719"/>
      <c r="R23" s="719"/>
      <c r="S23" s="719"/>
      <c r="T23" s="699"/>
      <c r="U23" s="8"/>
      <c r="V23" s="208"/>
      <c r="W23" s="208"/>
      <c r="X23" s="208"/>
      <c r="Y23" s="208"/>
      <c r="Z23" s="208"/>
    </row>
    <row r="24" spans="1:26" ht="15" thickBot="1">
      <c r="A24" s="1084" t="s">
        <v>968</v>
      </c>
      <c r="B24" s="1085">
        <f>B28+B29+B30+B31+B25+B32+B33</f>
        <v>817326.17696240603</v>
      </c>
      <c r="F24" s="1330" t="s">
        <v>976</v>
      </c>
      <c r="G24" s="1331"/>
      <c r="H24" s="721"/>
      <c r="I24" s="698"/>
      <c r="J24" s="698"/>
      <c r="K24" s="698"/>
      <c r="L24" s="698"/>
      <c r="M24" s="698"/>
      <c r="N24" s="698"/>
      <c r="O24" s="698"/>
      <c r="P24" s="698"/>
      <c r="Q24" s="698"/>
      <c r="R24" s="698"/>
      <c r="S24" s="698"/>
      <c r="T24" s="700"/>
      <c r="U24" s="8"/>
      <c r="V24" s="208"/>
      <c r="W24" s="208"/>
      <c r="X24" s="208"/>
      <c r="Y24" s="208"/>
      <c r="Z24" s="208"/>
    </row>
    <row r="25" spans="1:26" ht="15.75" customHeight="1" thickBot="1">
      <c r="A25" s="730" t="s">
        <v>3</v>
      </c>
      <c r="B25" s="1086">
        <f>IF(E26&lt;1,(E25/B6),(E26))</f>
        <v>429396.34801288933</v>
      </c>
      <c r="C25" s="708"/>
      <c r="D25" s="1017" t="s">
        <v>969</v>
      </c>
      <c r="E25" s="1034">
        <v>399768</v>
      </c>
      <c r="F25" s="1332"/>
      <c r="G25" s="1331"/>
      <c r="H25" s="744"/>
      <c r="I25" s="697"/>
      <c r="J25" s="697"/>
      <c r="K25" s="697"/>
      <c r="L25" s="697"/>
      <c r="M25" s="697"/>
      <c r="N25" s="697"/>
      <c r="O25" s="697"/>
      <c r="P25" s="697"/>
      <c r="Q25" s="697"/>
      <c r="R25" s="697"/>
      <c r="S25" s="698"/>
      <c r="T25" s="700"/>
      <c r="U25" s="8"/>
      <c r="V25" s="208"/>
      <c r="W25" s="208"/>
      <c r="X25" s="208"/>
      <c r="Y25" s="208"/>
      <c r="Z25" s="208"/>
    </row>
    <row r="26" spans="1:26" ht="15" thickBot="1">
      <c r="A26" s="730" t="s">
        <v>459</v>
      </c>
      <c r="B26" s="1087">
        <f>B25*B7</f>
        <v>375292.40816326527</v>
      </c>
      <c r="C26" s="708"/>
      <c r="D26" s="1017" t="s">
        <v>972</v>
      </c>
      <c r="E26" s="1030"/>
      <c r="F26" s="1332"/>
      <c r="G26" s="1331"/>
      <c r="H26" s="720"/>
      <c r="I26" s="701"/>
      <c r="J26" s="698"/>
      <c r="K26" s="698"/>
      <c r="L26" s="698"/>
      <c r="M26" s="698"/>
      <c r="N26" s="698"/>
      <c r="O26" s="698"/>
      <c r="P26" s="698"/>
      <c r="Q26" s="698"/>
      <c r="R26" s="698"/>
      <c r="S26" s="698"/>
      <c r="T26" s="700"/>
      <c r="U26" s="8"/>
      <c r="V26" s="208"/>
      <c r="W26" s="208"/>
      <c r="X26" s="208"/>
      <c r="Y26" s="208"/>
      <c r="Z26" s="208"/>
    </row>
    <row r="27" spans="1:26">
      <c r="A27" s="730" t="s">
        <v>186</v>
      </c>
      <c r="B27" s="1086">
        <f>B28+B30+B29+B31</f>
        <v>295323.34989473684</v>
      </c>
      <c r="F27" s="1332"/>
      <c r="G27" s="1331"/>
      <c r="H27" s="780" t="s">
        <v>953</v>
      </c>
      <c r="I27" s="698"/>
      <c r="J27" s="698"/>
      <c r="K27" s="698"/>
      <c r="L27" s="698"/>
      <c r="M27" s="698"/>
      <c r="N27" s="698"/>
      <c r="O27" s="698"/>
      <c r="P27" s="698"/>
      <c r="Q27" s="698"/>
      <c r="R27" s="698"/>
      <c r="S27" s="698"/>
      <c r="T27" s="700"/>
      <c r="U27" s="8"/>
      <c r="V27" s="208"/>
      <c r="W27" s="208"/>
      <c r="X27" s="208"/>
      <c r="Y27" s="208"/>
      <c r="Z27" s="208"/>
    </row>
    <row r="28" spans="1:26">
      <c r="A28" s="1080" t="s">
        <v>187</v>
      </c>
      <c r="B28" s="1079">
        <f>(0.986*(B26/2))-B29</f>
        <v>185019.15722448978</v>
      </c>
      <c r="H28" s="721"/>
      <c r="I28" s="1320" t="s">
        <v>949</v>
      </c>
      <c r="J28" s="1328"/>
      <c r="K28" s="1328"/>
      <c r="L28" s="1328"/>
      <c r="M28" s="1328"/>
      <c r="N28" s="1328"/>
      <c r="O28" s="1328"/>
      <c r="P28" s="1328"/>
      <c r="Q28" s="1328"/>
      <c r="R28" s="1328"/>
      <c r="S28" s="1328"/>
      <c r="T28" s="1329"/>
      <c r="U28" s="8"/>
      <c r="V28" s="208"/>
      <c r="W28" s="208"/>
      <c r="X28" s="208"/>
      <c r="Y28" s="208"/>
      <c r="Z28" s="208"/>
    </row>
    <row r="29" spans="1:26">
      <c r="A29" s="1080" t="s">
        <v>506</v>
      </c>
      <c r="B29" s="1261">
        <v>0</v>
      </c>
      <c r="H29" s="721"/>
      <c r="I29" s="1328"/>
      <c r="J29" s="1328"/>
      <c r="K29" s="1328"/>
      <c r="L29" s="1328"/>
      <c r="M29" s="1328"/>
      <c r="N29" s="1328"/>
      <c r="O29" s="1328"/>
      <c r="P29" s="1328"/>
      <c r="Q29" s="1328"/>
      <c r="R29" s="1328"/>
      <c r="S29" s="1328"/>
      <c r="T29" s="1329"/>
      <c r="U29" s="8"/>
      <c r="V29" s="208"/>
      <c r="W29" s="208"/>
      <c r="X29" s="208"/>
      <c r="Y29" s="208"/>
      <c r="Z29" s="208"/>
    </row>
    <row r="30" spans="1:26">
      <c r="A30" s="1080" t="s">
        <v>188</v>
      </c>
      <c r="B30" s="1079">
        <f>((0.986*(B26/2))-B32)-B31</f>
        <v>110304.19267024705</v>
      </c>
      <c r="H30" s="721"/>
      <c r="I30" s="905"/>
      <c r="J30" s="905"/>
      <c r="K30" s="905"/>
      <c r="L30" s="905"/>
      <c r="M30" s="905"/>
      <c r="N30" s="905"/>
      <c r="O30" s="905"/>
      <c r="P30" s="905"/>
      <c r="Q30" s="905"/>
      <c r="R30" s="905"/>
      <c r="S30" s="905"/>
      <c r="T30" s="906"/>
      <c r="U30" s="8"/>
      <c r="V30" s="208"/>
      <c r="W30" s="208"/>
      <c r="X30" s="208"/>
      <c r="Y30" s="208"/>
      <c r="Z30" s="208"/>
    </row>
    <row r="31" spans="1:26">
      <c r="A31" s="1080" t="s">
        <v>507</v>
      </c>
      <c r="B31" s="1261">
        <v>0</v>
      </c>
      <c r="C31" s="8"/>
      <c r="H31" s="721" t="s">
        <v>954</v>
      </c>
      <c r="I31" s="905"/>
      <c r="J31" s="905"/>
      <c r="K31" s="905"/>
      <c r="L31" s="905"/>
      <c r="M31" s="905"/>
      <c r="N31" s="905"/>
      <c r="O31" s="905"/>
      <c r="P31" s="905"/>
      <c r="Q31" s="905"/>
      <c r="R31" s="905"/>
      <c r="S31" s="905"/>
      <c r="T31" s="906"/>
      <c r="U31" s="8"/>
      <c r="V31" s="208"/>
      <c r="W31" s="208"/>
      <c r="X31" s="208"/>
      <c r="Y31" s="208"/>
      <c r="Z31" s="208"/>
    </row>
    <row r="32" spans="1:26">
      <c r="A32" s="730" t="s">
        <v>127</v>
      </c>
      <c r="B32" s="1079">
        <f>B8*B25</f>
        <v>74714.964554242732</v>
      </c>
      <c r="H32" s="721"/>
      <c r="I32" s="856" t="s">
        <v>955</v>
      </c>
      <c r="J32" s="857"/>
      <c r="K32" s="857"/>
      <c r="L32" s="857"/>
      <c r="M32" s="857"/>
      <c r="N32" s="857"/>
      <c r="O32" s="857"/>
      <c r="P32" s="857"/>
      <c r="Q32" s="857"/>
      <c r="R32" s="857"/>
      <c r="S32" s="857"/>
      <c r="T32" s="1043"/>
      <c r="U32" s="8"/>
    </row>
    <row r="33" spans="1:21">
      <c r="A33" s="730" t="s">
        <v>4</v>
      </c>
      <c r="B33" s="1079">
        <f>B25/24</f>
        <v>17891.514500537054</v>
      </c>
      <c r="H33" s="721"/>
      <c r="I33" s="905"/>
      <c r="J33" s="905"/>
      <c r="K33" s="905"/>
      <c r="L33" s="905"/>
      <c r="M33" s="905"/>
      <c r="N33" s="905"/>
      <c r="O33" s="905"/>
      <c r="P33" s="905"/>
      <c r="Q33" s="905"/>
      <c r="R33" s="905"/>
      <c r="S33" s="905"/>
      <c r="T33" s="906"/>
      <c r="U33" s="8"/>
    </row>
    <row r="34" spans="1:21">
      <c r="A34" s="730" t="s">
        <v>460</v>
      </c>
      <c r="B34" s="731">
        <f>DairyHerd!B18</f>
        <v>205271.45349492674</v>
      </c>
      <c r="H34" s="721" t="s">
        <v>952</v>
      </c>
      <c r="I34" s="905"/>
      <c r="J34" s="905"/>
      <c r="K34" s="905"/>
      <c r="L34" s="905"/>
      <c r="M34" s="905"/>
      <c r="N34" s="905"/>
      <c r="O34" s="905"/>
      <c r="P34" s="905"/>
      <c r="Q34" s="905"/>
      <c r="R34" s="905"/>
      <c r="S34" s="905"/>
      <c r="T34" s="906"/>
      <c r="U34" s="8"/>
    </row>
    <row r="35" spans="1:21">
      <c r="A35" s="730"/>
      <c r="B35" s="731"/>
      <c r="H35" s="721"/>
      <c r="I35" s="725" t="s">
        <v>956</v>
      </c>
      <c r="J35" s="698"/>
      <c r="K35" s="698"/>
      <c r="L35" s="698"/>
      <c r="M35" s="698"/>
      <c r="N35" s="698"/>
      <c r="O35" s="698"/>
      <c r="P35" s="698"/>
      <c r="Q35" s="698"/>
      <c r="R35" s="698"/>
      <c r="S35" s="698"/>
      <c r="T35" s="700"/>
      <c r="U35" s="8"/>
    </row>
    <row r="36" spans="1:21">
      <c r="A36" s="730" t="s">
        <v>464</v>
      </c>
      <c r="B36" s="731">
        <f>B25*0.129</f>
        <v>55392.128893662724</v>
      </c>
      <c r="H36" s="721"/>
      <c r="I36" s="725"/>
      <c r="J36" s="698"/>
      <c r="K36" s="698"/>
      <c r="L36" s="698"/>
      <c r="M36" s="698"/>
      <c r="N36" s="698"/>
      <c r="O36" s="698"/>
      <c r="P36" s="698"/>
      <c r="Q36" s="698"/>
      <c r="R36" s="698"/>
      <c r="S36" s="698"/>
      <c r="T36" s="700"/>
      <c r="U36" s="8"/>
    </row>
    <row r="37" spans="1:21">
      <c r="A37" s="730"/>
      <c r="B37" s="731"/>
      <c r="H37" s="720" t="s">
        <v>951</v>
      </c>
      <c r="I37" s="698"/>
      <c r="J37" s="698"/>
      <c r="K37" s="698"/>
      <c r="L37" s="698"/>
      <c r="M37" s="698"/>
      <c r="N37" s="698"/>
      <c r="O37" s="698"/>
      <c r="P37" s="698"/>
      <c r="Q37" s="698"/>
      <c r="R37" s="698"/>
      <c r="S37" s="698"/>
      <c r="T37" s="700"/>
      <c r="U37" s="8"/>
    </row>
    <row r="38" spans="1:21">
      <c r="A38" s="730"/>
      <c r="B38" s="731"/>
      <c r="H38" s="720"/>
      <c r="I38" s="725" t="s">
        <v>950</v>
      </c>
      <c r="J38" s="698"/>
      <c r="K38" s="698"/>
      <c r="L38" s="698"/>
      <c r="M38" s="698"/>
      <c r="N38" s="698"/>
      <c r="O38" s="698"/>
      <c r="P38" s="698"/>
      <c r="Q38" s="698"/>
      <c r="R38" s="698"/>
      <c r="S38" s="698"/>
      <c r="T38" s="700"/>
      <c r="U38" s="8"/>
    </row>
    <row r="39" spans="1:21">
      <c r="A39" s="730"/>
      <c r="B39" s="731"/>
      <c r="H39" s="780"/>
      <c r="I39" s="698"/>
      <c r="J39" s="698"/>
      <c r="K39" s="698"/>
      <c r="L39" s="698"/>
      <c r="M39" s="698"/>
      <c r="N39" s="698"/>
      <c r="O39" s="698"/>
      <c r="P39" s="698"/>
      <c r="Q39" s="698"/>
      <c r="R39" s="698"/>
      <c r="S39" s="698"/>
      <c r="T39" s="700"/>
      <c r="U39" s="8"/>
    </row>
    <row r="40" spans="1:21">
      <c r="A40" s="730" t="s">
        <v>973</v>
      </c>
      <c r="B40" s="731">
        <f>(B25*0.931)-B26</f>
        <v>24475.591836734733</v>
      </c>
      <c r="H40" s="780" t="s">
        <v>957</v>
      </c>
      <c r="I40" s="725"/>
      <c r="J40" s="698"/>
      <c r="K40" s="698"/>
      <c r="L40" s="698"/>
      <c r="M40" s="698"/>
      <c r="N40" s="698"/>
      <c r="O40" s="698"/>
      <c r="P40" s="698"/>
      <c r="Q40" s="698"/>
      <c r="R40" s="698"/>
      <c r="S40" s="698"/>
      <c r="T40" s="700"/>
      <c r="U40" s="8"/>
    </row>
    <row r="41" spans="1:21">
      <c r="A41" s="730" t="s">
        <v>465</v>
      </c>
      <c r="B41" s="731">
        <f>(B27+B25)*0.014</f>
        <v>10146.075770706766</v>
      </c>
      <c r="H41" s="780"/>
      <c r="I41" s="856" t="s">
        <v>958</v>
      </c>
      <c r="J41" s="698"/>
      <c r="K41" s="698"/>
      <c r="L41" s="698"/>
      <c r="M41" s="698"/>
      <c r="N41" s="698"/>
      <c r="O41" s="698"/>
      <c r="P41" s="698"/>
      <c r="Q41" s="698"/>
      <c r="R41" s="698"/>
      <c r="S41" s="698"/>
      <c r="T41" s="700"/>
      <c r="U41" s="8"/>
    </row>
    <row r="42" spans="1:21" ht="15" thickBot="1">
      <c r="A42" s="730"/>
      <c r="B42" s="731"/>
      <c r="H42" s="702"/>
      <c r="I42" s="743"/>
      <c r="J42" s="703"/>
      <c r="K42" s="703"/>
      <c r="L42" s="703"/>
      <c r="M42" s="703"/>
      <c r="N42" s="703"/>
      <c r="O42" s="703"/>
      <c r="P42" s="703"/>
      <c r="Q42" s="703"/>
      <c r="R42" s="703"/>
      <c r="S42" s="703"/>
      <c r="T42" s="704"/>
      <c r="U42" s="8"/>
    </row>
    <row r="43" spans="1:21">
      <c r="A43" s="208"/>
      <c r="B43" s="676"/>
    </row>
    <row r="44" spans="1:21">
      <c r="A44" s="208"/>
      <c r="B44" s="676"/>
    </row>
    <row r="45" spans="1:21">
      <c r="A45" s="208"/>
      <c r="B45" s="1078"/>
    </row>
    <row r="46" spans="1:21">
      <c r="A46" s="208"/>
      <c r="B46" s="1077"/>
    </row>
    <row r="47" spans="1:21">
      <c r="A47" s="208"/>
      <c r="B47" s="1077"/>
    </row>
    <row r="49" spans="2:5">
      <c r="C49" s="5"/>
      <c r="E49" s="561"/>
    </row>
    <row r="50" spans="2:5">
      <c r="C50" s="5"/>
      <c r="E50" s="561"/>
    </row>
    <row r="51" spans="2:5">
      <c r="C51" s="5"/>
      <c r="E51" s="561"/>
    </row>
    <row r="53" spans="2:5">
      <c r="B53" s="5"/>
    </row>
  </sheetData>
  <sheetProtection password="A4FF" sheet="1" objects="1" scenarios="1"/>
  <mergeCells count="4">
    <mergeCell ref="I28:T29"/>
    <mergeCell ref="F24:G27"/>
    <mergeCell ref="I3:L3"/>
    <mergeCell ref="I4:L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theme="6" tint="-0.249977111117893"/>
  </sheetPr>
  <dimension ref="A1:Y73"/>
  <sheetViews>
    <sheetView workbookViewId="0">
      <selection activeCell="D3" sqref="D3:G3"/>
    </sheetView>
  </sheetViews>
  <sheetFormatPr baseColWidth="10" defaultColWidth="8.83203125" defaultRowHeight="14" x14ac:dyDescent="0"/>
  <cols>
    <col min="2" max="2" width="16.33203125" customWidth="1"/>
    <col min="6" max="6" width="10.6640625" bestFit="1" customWidth="1"/>
    <col min="7" max="8" width="8.1640625" customWidth="1"/>
    <col min="10" max="10" width="8.83203125" style="276"/>
    <col min="11" max="11" width="11.5" customWidth="1"/>
    <col min="13" max="13" width="13.33203125" customWidth="1"/>
    <col min="17" max="17" width="15.1640625" customWidth="1"/>
    <col min="20" max="20" width="8.5" customWidth="1"/>
  </cols>
  <sheetData>
    <row r="1" spans="1:25">
      <c r="A1" s="354" t="s">
        <v>202</v>
      </c>
      <c r="B1" s="354"/>
      <c r="C1" s="1"/>
      <c r="D1" s="1" t="s">
        <v>196</v>
      </c>
      <c r="E1" s="1" t="s">
        <v>194</v>
      </c>
      <c r="F1" s="1"/>
      <c r="G1" s="1" t="s">
        <v>200</v>
      </c>
      <c r="H1" s="1"/>
      <c r="I1" s="1"/>
      <c r="J1" s="1"/>
      <c r="K1" s="491" t="s">
        <v>259</v>
      </c>
      <c r="L1" s="354" t="s">
        <v>203</v>
      </c>
      <c r="M1" s="1"/>
      <c r="N1" s="1" t="s">
        <v>204</v>
      </c>
      <c r="O1" s="1" t="s">
        <v>205</v>
      </c>
      <c r="P1" s="1" t="s">
        <v>194</v>
      </c>
      <c r="Q1" s="357" t="s">
        <v>208</v>
      </c>
      <c r="R1" s="1" t="s">
        <v>206</v>
      </c>
      <c r="S1" s="1"/>
      <c r="T1" s="1"/>
      <c r="U1" s="1" t="s">
        <v>207</v>
      </c>
    </row>
    <row r="2" spans="1:25">
      <c r="A2" s="1335" t="s">
        <v>193</v>
      </c>
      <c r="B2" s="1" t="s">
        <v>199</v>
      </c>
      <c r="C2" s="355">
        <v>40648</v>
      </c>
      <c r="D2" s="1">
        <v>98.1</v>
      </c>
      <c r="E2" s="1">
        <v>2.2050000000000001</v>
      </c>
      <c r="F2" s="359">
        <v>40648</v>
      </c>
      <c r="G2" s="6">
        <f>AVERAGE(D2:D3)</f>
        <v>114.6375</v>
      </c>
      <c r="H2" s="6">
        <f>G2*0.454</f>
        <v>52.045425000000002</v>
      </c>
      <c r="I2" s="1"/>
      <c r="J2" s="1"/>
      <c r="K2" s="1341" t="s">
        <v>217</v>
      </c>
      <c r="L2" s="1335" t="s">
        <v>193</v>
      </c>
      <c r="M2" s="1" t="s">
        <v>199</v>
      </c>
      <c r="N2" s="352">
        <v>40648</v>
      </c>
      <c r="O2">
        <v>88.6</v>
      </c>
      <c r="P2" s="6">
        <v>2.0499999999999998</v>
      </c>
      <c r="Q2" s="361">
        <v>40655</v>
      </c>
      <c r="R2" s="6">
        <f>AVERAGE(O2:O3)</f>
        <v>103.97499999999999</v>
      </c>
      <c r="S2" s="6">
        <f>R2*0.454</f>
        <v>47.204650000000001</v>
      </c>
      <c r="T2" s="1"/>
      <c r="U2" s="1"/>
      <c r="Y2" t="s">
        <v>466</v>
      </c>
    </row>
    <row r="3" spans="1:25">
      <c r="A3" s="1336"/>
      <c r="B3" s="1"/>
      <c r="C3" s="355">
        <v>40663</v>
      </c>
      <c r="D3" s="1">
        <f>D2+(15*E2)</f>
        <v>131.17500000000001</v>
      </c>
      <c r="E3" s="1">
        <v>2.2050000000000001</v>
      </c>
      <c r="F3" s="359"/>
      <c r="G3" s="1"/>
      <c r="H3" s="6">
        <f t="shared" ref="H3:H34" si="0">G3*0.454</f>
        <v>0</v>
      </c>
      <c r="I3" s="1"/>
      <c r="J3" s="1"/>
      <c r="K3" s="1342"/>
      <c r="L3" s="1336"/>
      <c r="M3" s="1"/>
      <c r="N3" s="353">
        <v>40663</v>
      </c>
      <c r="O3" s="11">
        <f>O2+(15*P2)</f>
        <v>119.35</v>
      </c>
      <c r="P3" s="11">
        <v>2.0499999999999998</v>
      </c>
      <c r="Q3" s="1"/>
      <c r="R3" s="1"/>
      <c r="S3" s="6">
        <f t="shared" ref="S3:S34" si="1">R3*0.454</f>
        <v>0</v>
      </c>
      <c r="T3" s="1"/>
      <c r="U3" s="1"/>
    </row>
    <row r="4" spans="1:25">
      <c r="A4" s="1335" t="s">
        <v>0</v>
      </c>
      <c r="C4" s="355">
        <v>40664</v>
      </c>
      <c r="D4" s="1">
        <f>D3+E4</f>
        <v>133.38000000000002</v>
      </c>
      <c r="E4" s="215">
        <v>2.2050000000000001</v>
      </c>
      <c r="F4" s="1339">
        <v>40678</v>
      </c>
      <c r="G4" s="1335">
        <f>AVERAGE(D4:D5)</f>
        <v>166.45500000000004</v>
      </c>
      <c r="H4" s="6">
        <f t="shared" si="0"/>
        <v>75.570570000000018</v>
      </c>
      <c r="I4" s="356">
        <v>40678</v>
      </c>
      <c r="J4" s="215">
        <f>G4</f>
        <v>166.45500000000004</v>
      </c>
      <c r="K4" s="1342"/>
      <c r="L4" s="1337" t="s">
        <v>0</v>
      </c>
      <c r="N4" s="355">
        <v>40664</v>
      </c>
      <c r="O4" s="1">
        <f>O3+P4</f>
        <v>121.39999999999999</v>
      </c>
      <c r="P4" s="215">
        <v>2.0499999999999998</v>
      </c>
      <c r="Q4" s="1339">
        <v>40678</v>
      </c>
      <c r="R4" s="1335">
        <f>AVERAGE(O4:O5)</f>
        <v>152.14999999999998</v>
      </c>
      <c r="S4" s="6">
        <f t="shared" si="1"/>
        <v>69.076099999999997</v>
      </c>
      <c r="T4" s="356">
        <v>40678</v>
      </c>
      <c r="U4" s="215">
        <f>R4</f>
        <v>152.14999999999998</v>
      </c>
    </row>
    <row r="5" spans="1:25">
      <c r="A5" s="1336"/>
      <c r="B5" s="1"/>
      <c r="C5" s="355">
        <v>40694</v>
      </c>
      <c r="D5" s="1">
        <f>D4+(30*E4)</f>
        <v>199.53000000000003</v>
      </c>
      <c r="E5" s="1">
        <v>2.2050000000000001</v>
      </c>
      <c r="F5" s="1340"/>
      <c r="G5" s="1336"/>
      <c r="H5" s="6">
        <f t="shared" si="0"/>
        <v>0</v>
      </c>
      <c r="I5" s="356">
        <v>40344</v>
      </c>
      <c r="J5" s="1">
        <f>G6</f>
        <v>233.70750000000004</v>
      </c>
      <c r="K5" s="1342"/>
      <c r="L5" s="1338"/>
      <c r="M5" s="1"/>
      <c r="N5" s="355">
        <v>40694</v>
      </c>
      <c r="O5" s="1">
        <f>O4+(30*P4)</f>
        <v>182.89999999999998</v>
      </c>
      <c r="P5" s="1">
        <v>2.0499999999999998</v>
      </c>
      <c r="Q5" s="1340"/>
      <c r="R5" s="1336"/>
      <c r="S5" s="6">
        <f t="shared" si="1"/>
        <v>0</v>
      </c>
      <c r="T5" s="356">
        <v>40344</v>
      </c>
      <c r="U5" s="1">
        <f>R6</f>
        <v>214.67499999999998</v>
      </c>
    </row>
    <row r="6" spans="1:25">
      <c r="A6" s="1335" t="s">
        <v>1</v>
      </c>
      <c r="B6" s="1" t="s">
        <v>197</v>
      </c>
      <c r="C6" s="355">
        <v>40695</v>
      </c>
      <c r="D6" s="1">
        <f>D5+(E5)</f>
        <v>201.73500000000004</v>
      </c>
      <c r="E6" s="1">
        <v>2.2050000000000001</v>
      </c>
      <c r="F6" s="1339">
        <v>40344</v>
      </c>
      <c r="G6" s="1335">
        <f>AVERAGE(D6:D7)</f>
        <v>233.70750000000004</v>
      </c>
      <c r="H6" s="6">
        <f t="shared" si="0"/>
        <v>106.10320500000002</v>
      </c>
      <c r="I6" s="356">
        <v>40374</v>
      </c>
      <c r="J6" s="1">
        <f>G8</f>
        <v>300.96000000000004</v>
      </c>
      <c r="K6" s="1342"/>
      <c r="L6" s="1337" t="s">
        <v>1</v>
      </c>
      <c r="M6" s="1" t="s">
        <v>197</v>
      </c>
      <c r="N6" s="355">
        <v>40695</v>
      </c>
      <c r="O6" s="1">
        <f>O5+(P5)</f>
        <v>184.95</v>
      </c>
      <c r="P6" s="1">
        <v>2.0499999999999998</v>
      </c>
      <c r="Q6" s="1339">
        <v>40344</v>
      </c>
      <c r="R6" s="1335">
        <f>AVERAGE(O6:O7)</f>
        <v>214.67499999999998</v>
      </c>
      <c r="S6" s="6">
        <f t="shared" si="1"/>
        <v>97.46244999999999</v>
      </c>
      <c r="T6" s="356">
        <v>40374</v>
      </c>
      <c r="U6" s="1">
        <f>R8</f>
        <v>277.2</v>
      </c>
    </row>
    <row r="7" spans="1:25">
      <c r="A7" s="1336"/>
      <c r="B7" s="1"/>
      <c r="C7" s="355">
        <v>40724</v>
      </c>
      <c r="D7" s="1">
        <f>D6+(29*E6)</f>
        <v>265.68000000000006</v>
      </c>
      <c r="E7" s="1">
        <v>2.2050000000000001</v>
      </c>
      <c r="F7" s="1340"/>
      <c r="G7" s="1336"/>
      <c r="H7" s="6">
        <f t="shared" si="0"/>
        <v>0</v>
      </c>
      <c r="I7" s="356">
        <v>40405</v>
      </c>
      <c r="J7" s="1">
        <f>G10</f>
        <v>369.31500000000005</v>
      </c>
      <c r="K7" s="1342"/>
      <c r="L7" s="1338"/>
      <c r="M7" s="1"/>
      <c r="N7" s="355">
        <v>30</v>
      </c>
      <c r="O7" s="1">
        <f>O6+(29*P6)</f>
        <v>244.39999999999998</v>
      </c>
      <c r="P7" s="1">
        <v>2.0499999999999998</v>
      </c>
      <c r="Q7" s="1340"/>
      <c r="R7" s="1336"/>
      <c r="S7" s="6">
        <f t="shared" si="1"/>
        <v>0</v>
      </c>
      <c r="T7" s="356">
        <v>40405</v>
      </c>
      <c r="U7" s="1">
        <f>R10</f>
        <v>340.75</v>
      </c>
    </row>
    <row r="8" spans="1:25">
      <c r="A8" s="1335" t="s">
        <v>2</v>
      </c>
      <c r="B8" s="1"/>
      <c r="C8" s="355">
        <v>40725</v>
      </c>
      <c r="D8" s="1">
        <f>D7+(E7)</f>
        <v>267.88500000000005</v>
      </c>
      <c r="E8" s="1">
        <v>2.2050000000000001</v>
      </c>
      <c r="F8" s="1339">
        <v>40374</v>
      </c>
      <c r="G8" s="1335">
        <f>AVERAGE(D8:D9)</f>
        <v>300.96000000000004</v>
      </c>
      <c r="H8" s="6">
        <f t="shared" si="0"/>
        <v>136.63584000000003</v>
      </c>
      <c r="I8" s="356">
        <v>40436</v>
      </c>
      <c r="J8" s="1">
        <f>G12</f>
        <v>436.56750000000011</v>
      </c>
      <c r="K8" s="1342"/>
      <c r="L8" s="1337" t="s">
        <v>2</v>
      </c>
      <c r="M8" s="1"/>
      <c r="N8" s="355">
        <v>40725</v>
      </c>
      <c r="O8" s="1">
        <f>O7+(P7)</f>
        <v>246.45</v>
      </c>
      <c r="P8" s="1">
        <v>2.0499999999999998</v>
      </c>
      <c r="Q8" s="1339">
        <v>40374</v>
      </c>
      <c r="R8" s="1335">
        <f>AVERAGE(O8:O9)</f>
        <v>277.2</v>
      </c>
      <c r="S8" s="6">
        <f t="shared" si="1"/>
        <v>125.8488</v>
      </c>
      <c r="T8" s="356">
        <v>40436</v>
      </c>
      <c r="U8" s="1">
        <f>R12</f>
        <v>403.27499999999998</v>
      </c>
    </row>
    <row r="9" spans="1:25">
      <c r="A9" s="1336"/>
      <c r="B9" s="1"/>
      <c r="C9" s="355">
        <v>40755</v>
      </c>
      <c r="D9" s="1">
        <f>D8+(30*E8)</f>
        <v>334.03500000000008</v>
      </c>
      <c r="E9" s="1">
        <v>2.2050000000000001</v>
      </c>
      <c r="F9" s="1340"/>
      <c r="G9" s="1336"/>
      <c r="H9" s="6">
        <f t="shared" si="0"/>
        <v>0</v>
      </c>
      <c r="I9" s="356">
        <v>40466</v>
      </c>
      <c r="J9" s="1">
        <f>G14</f>
        <v>503.82000000000005</v>
      </c>
      <c r="K9" s="1342"/>
      <c r="L9" s="1338"/>
      <c r="M9" s="1"/>
      <c r="N9" s="355">
        <v>40755</v>
      </c>
      <c r="O9" s="1">
        <f>O8+(30*P8)</f>
        <v>307.95</v>
      </c>
      <c r="P9" s="1">
        <v>2.0499999999999998</v>
      </c>
      <c r="Q9" s="1340"/>
      <c r="R9" s="1336"/>
      <c r="S9" s="6">
        <f t="shared" si="1"/>
        <v>0</v>
      </c>
      <c r="T9" s="356">
        <v>40466</v>
      </c>
      <c r="U9" s="1">
        <f>R14</f>
        <v>465.8</v>
      </c>
    </row>
    <row r="10" spans="1:25">
      <c r="A10" s="1335" t="s">
        <v>192</v>
      </c>
      <c r="B10" s="1"/>
      <c r="C10" s="355">
        <v>40756</v>
      </c>
      <c r="D10" s="1">
        <f>D9+(E9)</f>
        <v>336.24000000000007</v>
      </c>
      <c r="E10" s="1">
        <v>2.2050000000000001</v>
      </c>
      <c r="F10" s="1339">
        <v>40405</v>
      </c>
      <c r="G10" s="1335">
        <f>AVERAGE(D10:D11)</f>
        <v>369.31500000000005</v>
      </c>
      <c r="H10" s="6">
        <f t="shared" si="0"/>
        <v>167.66901000000004</v>
      </c>
      <c r="I10" s="356">
        <v>40497</v>
      </c>
      <c r="J10" s="215">
        <f>G16</f>
        <v>574.09500000000003</v>
      </c>
      <c r="K10" s="1342"/>
      <c r="L10" s="1337" t="s">
        <v>192</v>
      </c>
      <c r="M10" s="1"/>
      <c r="N10" s="355">
        <v>40756</v>
      </c>
      <c r="O10" s="1">
        <f>O9+(P9)</f>
        <v>310</v>
      </c>
      <c r="P10" s="1">
        <v>2.0499999999999998</v>
      </c>
      <c r="Q10" s="1339">
        <v>40405</v>
      </c>
      <c r="R10" s="1335">
        <f>AVERAGE(O10:O11)</f>
        <v>340.75</v>
      </c>
      <c r="S10" s="6">
        <f t="shared" si="1"/>
        <v>154.70050000000001</v>
      </c>
      <c r="T10" s="356">
        <v>40497</v>
      </c>
      <c r="U10" s="215">
        <f>R16</f>
        <v>526</v>
      </c>
    </row>
    <row r="11" spans="1:25">
      <c r="A11" s="1336"/>
      <c r="B11" s="1"/>
      <c r="C11" s="355">
        <v>40786</v>
      </c>
      <c r="D11" s="1">
        <f>D10+(30*E10)</f>
        <v>402.3900000000001</v>
      </c>
      <c r="E11" s="1">
        <v>2.2050000000000001</v>
      </c>
      <c r="F11" s="1340"/>
      <c r="G11" s="1336"/>
      <c r="H11" s="6">
        <f t="shared" si="0"/>
        <v>0</v>
      </c>
      <c r="I11" s="356">
        <v>40527</v>
      </c>
      <c r="J11" s="1">
        <f>G18</f>
        <v>647.29500000000007</v>
      </c>
      <c r="K11" s="1342"/>
      <c r="L11" s="1338"/>
      <c r="M11" s="1"/>
      <c r="N11" s="355">
        <v>40786</v>
      </c>
      <c r="O11" s="1">
        <f>O10+(30*P10)</f>
        <v>371.5</v>
      </c>
      <c r="P11" s="1">
        <v>2.0499999999999998</v>
      </c>
      <c r="Q11" s="1340"/>
      <c r="R11" s="1336"/>
      <c r="S11" s="6">
        <f t="shared" si="1"/>
        <v>0</v>
      </c>
      <c r="T11" s="356">
        <v>40527</v>
      </c>
      <c r="U11" s="1">
        <f>R18</f>
        <v>583.94999999999993</v>
      </c>
    </row>
    <row r="12" spans="1:25">
      <c r="A12" s="1335" t="s">
        <v>6</v>
      </c>
      <c r="B12" s="1"/>
      <c r="C12" s="355">
        <v>40787</v>
      </c>
      <c r="D12" s="1">
        <f>D11+(E11)</f>
        <v>404.59500000000008</v>
      </c>
      <c r="E12" s="1">
        <v>2.2050000000000001</v>
      </c>
      <c r="F12" s="1339">
        <v>40436</v>
      </c>
      <c r="G12" s="1335">
        <f>AVERAGE(D12:D13)</f>
        <v>436.56750000000011</v>
      </c>
      <c r="H12" s="6">
        <f t="shared" si="0"/>
        <v>198.20164500000004</v>
      </c>
      <c r="I12" s="356">
        <v>40558</v>
      </c>
      <c r="J12" s="1">
        <f>G20</f>
        <v>721.69500000000005</v>
      </c>
      <c r="K12" s="1342"/>
      <c r="L12" s="1337" t="s">
        <v>6</v>
      </c>
      <c r="M12" s="1"/>
      <c r="N12" s="355">
        <v>40787</v>
      </c>
      <c r="O12" s="1">
        <f>O11+(P11)</f>
        <v>373.55</v>
      </c>
      <c r="P12" s="1">
        <v>2.0499999999999998</v>
      </c>
      <c r="Q12" s="1339">
        <v>40436</v>
      </c>
      <c r="R12" s="1335">
        <f>AVERAGE(O12:O13)</f>
        <v>403.27499999999998</v>
      </c>
      <c r="S12" s="6">
        <f t="shared" si="1"/>
        <v>183.08685</v>
      </c>
      <c r="T12" s="356">
        <v>40558</v>
      </c>
      <c r="U12" s="1">
        <f>R20</f>
        <v>642.84999999999991</v>
      </c>
    </row>
    <row r="13" spans="1:25">
      <c r="A13" s="1336"/>
      <c r="B13" s="1"/>
      <c r="C13" s="355">
        <v>40816</v>
      </c>
      <c r="D13" s="1">
        <f>D12+(29*E12)</f>
        <v>468.54000000000008</v>
      </c>
      <c r="E13" s="1">
        <v>2.2050000000000001</v>
      </c>
      <c r="F13" s="1340"/>
      <c r="G13" s="1336"/>
      <c r="H13" s="6">
        <f t="shared" si="0"/>
        <v>0</v>
      </c>
      <c r="I13" s="356">
        <v>40589</v>
      </c>
      <c r="J13" s="1">
        <f>G22</f>
        <v>804.64499999999998</v>
      </c>
      <c r="K13" s="1342"/>
      <c r="L13" s="1338"/>
      <c r="M13" s="1"/>
      <c r="N13" s="355">
        <v>40816</v>
      </c>
      <c r="O13" s="1">
        <f>O12+(29*P12)</f>
        <v>433</v>
      </c>
      <c r="P13" s="1">
        <v>2.0499999999999998</v>
      </c>
      <c r="Q13" s="1340"/>
      <c r="R13" s="1336"/>
      <c r="S13" s="6">
        <f t="shared" si="1"/>
        <v>0</v>
      </c>
      <c r="T13" s="356">
        <v>40589</v>
      </c>
      <c r="U13" s="1">
        <f>R22</f>
        <v>713.34499999999991</v>
      </c>
    </row>
    <row r="14" spans="1:25">
      <c r="A14" s="1335" t="s">
        <v>7</v>
      </c>
      <c r="B14" s="1"/>
      <c r="C14" s="355">
        <v>40817</v>
      </c>
      <c r="D14" s="1">
        <f>D13+(E13)</f>
        <v>470.74500000000006</v>
      </c>
      <c r="E14" s="1">
        <v>2.2050000000000001</v>
      </c>
      <c r="F14" s="1339">
        <v>40466</v>
      </c>
      <c r="G14" s="1335">
        <f>AVERAGE(D14:D15)</f>
        <v>503.82000000000005</v>
      </c>
      <c r="H14" s="6">
        <f t="shared" si="0"/>
        <v>228.73428000000004</v>
      </c>
      <c r="I14" s="356">
        <v>40617</v>
      </c>
      <c r="J14" s="1">
        <f>G24</f>
        <v>901.995</v>
      </c>
      <c r="K14" s="1342"/>
      <c r="L14" s="1337" t="s">
        <v>7</v>
      </c>
      <c r="M14" s="1"/>
      <c r="N14" s="355">
        <v>40817</v>
      </c>
      <c r="O14" s="1">
        <f>O13+(P13)</f>
        <v>435.05</v>
      </c>
      <c r="P14" s="1">
        <v>2.0499999999999998</v>
      </c>
      <c r="Q14" s="1339">
        <v>40466</v>
      </c>
      <c r="R14" s="1335">
        <f>AVERAGE(O14:O15)</f>
        <v>465.8</v>
      </c>
      <c r="S14" s="6">
        <f t="shared" si="1"/>
        <v>211.47320000000002</v>
      </c>
      <c r="T14" s="356">
        <v>40617</v>
      </c>
      <c r="U14" s="1">
        <f>R24</f>
        <v>800.96</v>
      </c>
    </row>
    <row r="15" spans="1:25">
      <c r="A15" s="1336"/>
      <c r="B15" s="1" t="s">
        <v>198</v>
      </c>
      <c r="C15" s="355">
        <v>40847</v>
      </c>
      <c r="D15" s="1">
        <f>D14+(30*E14)</f>
        <v>536.8950000000001</v>
      </c>
      <c r="E15" s="1">
        <v>2.2050000000000001</v>
      </c>
      <c r="F15" s="1340"/>
      <c r="G15" s="1336"/>
      <c r="H15" s="6">
        <f t="shared" si="0"/>
        <v>0</v>
      </c>
      <c r="I15" s="356">
        <v>40648</v>
      </c>
      <c r="J15" s="1">
        <f>G26</f>
        <v>1002.645</v>
      </c>
      <c r="K15" s="1343"/>
      <c r="L15" s="1338"/>
      <c r="M15" s="1" t="s">
        <v>198</v>
      </c>
      <c r="N15" s="355">
        <v>40847</v>
      </c>
      <c r="O15" s="1">
        <f>O14+(30*P14)</f>
        <v>496.55</v>
      </c>
      <c r="P15" s="1">
        <v>2.0499999999999998</v>
      </c>
      <c r="Q15" s="1340"/>
      <c r="R15" s="1336"/>
      <c r="S15" s="6">
        <f t="shared" si="1"/>
        <v>0</v>
      </c>
      <c r="T15" s="356">
        <v>40648</v>
      </c>
      <c r="U15" s="1">
        <f>R26</f>
        <v>891.54500000000007</v>
      </c>
    </row>
    <row r="16" spans="1:25">
      <c r="A16" s="1335" t="s">
        <v>8</v>
      </c>
      <c r="B16" s="1"/>
      <c r="C16" s="355">
        <v>40848</v>
      </c>
      <c r="D16" s="1">
        <f>D15+E16</f>
        <v>539.29500000000007</v>
      </c>
      <c r="E16" s="383">
        <v>2.4</v>
      </c>
      <c r="F16" s="1339">
        <v>40497</v>
      </c>
      <c r="G16" s="1335">
        <f>AVERAGE(D16:D17)</f>
        <v>574.09500000000003</v>
      </c>
      <c r="H16" s="6">
        <f t="shared" si="0"/>
        <v>260.63913000000002</v>
      </c>
      <c r="I16" s="356">
        <v>40678</v>
      </c>
      <c r="J16" s="1">
        <f>G28</f>
        <v>1103.2949999999998</v>
      </c>
      <c r="K16" s="1344" t="s">
        <v>258</v>
      </c>
      <c r="L16" s="1337" t="s">
        <v>8</v>
      </c>
      <c r="M16" s="1"/>
      <c r="N16" s="355">
        <v>40848</v>
      </c>
      <c r="O16" s="1">
        <f>O15+P16</f>
        <v>498.45</v>
      </c>
      <c r="P16" s="383">
        <v>1.9</v>
      </c>
      <c r="Q16" s="1339">
        <v>40497</v>
      </c>
      <c r="R16" s="1335">
        <f>AVERAGE(O16:O17)</f>
        <v>526</v>
      </c>
      <c r="S16" s="6">
        <f t="shared" si="1"/>
        <v>238.804</v>
      </c>
      <c r="T16" s="356">
        <v>40678</v>
      </c>
      <c r="U16" s="1">
        <f>R28</f>
        <v>982.13000000000011</v>
      </c>
    </row>
    <row r="17" spans="1:25">
      <c r="A17" s="1336"/>
      <c r="B17" s="1"/>
      <c r="C17" s="355">
        <v>40877</v>
      </c>
      <c r="D17" s="1">
        <f>D16+(29*E16)</f>
        <v>608.8950000000001</v>
      </c>
      <c r="E17" s="1">
        <v>2.4</v>
      </c>
      <c r="F17" s="1340"/>
      <c r="G17" s="1336"/>
      <c r="H17" s="6">
        <f t="shared" si="0"/>
        <v>0</v>
      </c>
      <c r="I17" s="356">
        <v>40709</v>
      </c>
      <c r="J17" s="1">
        <f>G30</f>
        <v>1203.9449999999997</v>
      </c>
      <c r="K17" s="1345"/>
      <c r="L17" s="1338"/>
      <c r="M17" s="1"/>
      <c r="N17" s="355">
        <v>40877</v>
      </c>
      <c r="O17" s="1">
        <f>O16+(29*P16)</f>
        <v>553.54999999999995</v>
      </c>
      <c r="P17" s="1">
        <v>1.9</v>
      </c>
      <c r="Q17" s="1340"/>
      <c r="R17" s="1336"/>
      <c r="S17" s="6">
        <f t="shared" si="1"/>
        <v>0</v>
      </c>
      <c r="T17" s="356">
        <v>40709</v>
      </c>
      <c r="U17" s="1">
        <f>R30</f>
        <v>1072.7150000000001</v>
      </c>
    </row>
    <row r="18" spans="1:25">
      <c r="A18" s="1335" t="s">
        <v>9</v>
      </c>
      <c r="B18" s="1"/>
      <c r="C18" s="355">
        <v>40878</v>
      </c>
      <c r="D18" s="1">
        <f>D17+(E17)</f>
        <v>611.29500000000007</v>
      </c>
      <c r="E18" s="1">
        <v>2.4</v>
      </c>
      <c r="F18" s="1339">
        <v>40527</v>
      </c>
      <c r="G18" s="1335">
        <f>AVERAGE(D18:D19)</f>
        <v>647.29500000000007</v>
      </c>
      <c r="H18" s="6">
        <f t="shared" si="0"/>
        <v>293.87193000000002</v>
      </c>
      <c r="I18" s="356">
        <v>40739</v>
      </c>
      <c r="J18" s="1">
        <f>G32</f>
        <v>1304.5949999999998</v>
      </c>
      <c r="K18" s="1345"/>
      <c r="L18" s="1337" t="s">
        <v>9</v>
      </c>
      <c r="M18" s="1"/>
      <c r="N18" s="355">
        <v>40878</v>
      </c>
      <c r="O18" s="1">
        <f>O17+(P17)</f>
        <v>555.44999999999993</v>
      </c>
      <c r="P18" s="1">
        <v>1.9</v>
      </c>
      <c r="Q18" s="1339">
        <v>40527</v>
      </c>
      <c r="R18" s="1335">
        <f>AVERAGE(O18:O19)</f>
        <v>583.94999999999993</v>
      </c>
      <c r="S18" s="6">
        <f t="shared" si="1"/>
        <v>265.11329999999998</v>
      </c>
      <c r="T18" s="356">
        <v>40739</v>
      </c>
      <c r="U18" s="1">
        <f>R32</f>
        <v>1163.3000000000002</v>
      </c>
    </row>
    <row r="19" spans="1:25">
      <c r="A19" s="1336"/>
      <c r="B19" s="1"/>
      <c r="C19" s="355">
        <v>40908</v>
      </c>
      <c r="D19" s="1">
        <f>D18+(30*E18)</f>
        <v>683.29500000000007</v>
      </c>
      <c r="E19" s="1">
        <v>2.4</v>
      </c>
      <c r="F19" s="1340"/>
      <c r="G19" s="1336"/>
      <c r="H19" s="6">
        <f t="shared" si="0"/>
        <v>0</v>
      </c>
      <c r="I19" s="356">
        <v>40770</v>
      </c>
      <c r="J19" s="1">
        <f>G34</f>
        <v>1406.8949999999998</v>
      </c>
      <c r="K19" s="1345"/>
      <c r="L19" s="1338"/>
      <c r="M19" s="1"/>
      <c r="N19" s="355">
        <v>40908</v>
      </c>
      <c r="O19" s="1">
        <f>O18+(30*P18)</f>
        <v>612.44999999999993</v>
      </c>
      <c r="P19" s="1">
        <v>1.9</v>
      </c>
      <c r="Q19" s="1340"/>
      <c r="R19" s="1336"/>
      <c r="S19" s="6">
        <f t="shared" si="1"/>
        <v>0</v>
      </c>
      <c r="T19" s="356">
        <v>40770</v>
      </c>
      <c r="U19" s="1">
        <f>R34</f>
        <v>1255.3700000000001</v>
      </c>
    </row>
    <row r="20" spans="1:25">
      <c r="A20" s="1335" t="s">
        <v>10</v>
      </c>
      <c r="B20" s="1"/>
      <c r="C20" s="355">
        <v>40544</v>
      </c>
      <c r="D20" s="1">
        <f>D19+(E19)</f>
        <v>685.69500000000005</v>
      </c>
      <c r="E20" s="1">
        <v>2.4</v>
      </c>
      <c r="F20" s="1339">
        <v>40558</v>
      </c>
      <c r="G20" s="1335">
        <f>AVERAGE(D20:D21)</f>
        <v>721.69500000000005</v>
      </c>
      <c r="H20" s="6">
        <f t="shared" si="0"/>
        <v>327.64953000000003</v>
      </c>
      <c r="I20" s="492">
        <v>40801</v>
      </c>
      <c r="J20" s="493">
        <f>G36</f>
        <v>1507.5449999999996</v>
      </c>
      <c r="K20" s="1345"/>
      <c r="L20" s="1337" t="s">
        <v>10</v>
      </c>
      <c r="M20" s="1"/>
      <c r="N20" s="355">
        <v>40544</v>
      </c>
      <c r="O20" s="1">
        <f>O19+(P19)</f>
        <v>614.34999999999991</v>
      </c>
      <c r="P20" s="1">
        <v>1.9</v>
      </c>
      <c r="Q20" s="1339">
        <v>40558</v>
      </c>
      <c r="R20" s="1335">
        <f>AVERAGE(O20:O21)</f>
        <v>642.84999999999991</v>
      </c>
      <c r="S20" s="6">
        <f t="shared" si="1"/>
        <v>291.85389999999995</v>
      </c>
      <c r="T20" s="492">
        <v>40801</v>
      </c>
      <c r="U20" s="493">
        <f>R36</f>
        <v>1345.9550000000002</v>
      </c>
    </row>
    <row r="21" spans="1:25">
      <c r="A21" s="1336"/>
      <c r="B21" s="1"/>
      <c r="C21" s="355">
        <v>40574</v>
      </c>
      <c r="D21" s="1">
        <f>D20+(30*E20)</f>
        <v>757.69500000000005</v>
      </c>
      <c r="E21" s="1">
        <v>2.4</v>
      </c>
      <c r="F21" s="1340"/>
      <c r="G21" s="1336"/>
      <c r="H21" s="6">
        <f t="shared" si="0"/>
        <v>0</v>
      </c>
      <c r="I21" s="492">
        <v>40831</v>
      </c>
      <c r="J21" s="493">
        <f>G38</f>
        <v>1608.1949999999997</v>
      </c>
      <c r="K21" s="1346"/>
      <c r="L21" s="1338"/>
      <c r="M21" s="1"/>
      <c r="N21" s="355">
        <v>40574</v>
      </c>
      <c r="O21" s="1">
        <f>O20+(30*P20)</f>
        <v>671.34999999999991</v>
      </c>
      <c r="P21" s="1">
        <v>1.9</v>
      </c>
      <c r="Q21" s="1340"/>
      <c r="R21" s="1336"/>
      <c r="S21" s="6">
        <f t="shared" si="1"/>
        <v>0</v>
      </c>
      <c r="T21" s="492">
        <v>40831</v>
      </c>
      <c r="U21" s="493">
        <f>R38</f>
        <v>1436.5400000000002</v>
      </c>
      <c r="Y21" t="s">
        <v>467</v>
      </c>
    </row>
    <row r="22" spans="1:25">
      <c r="A22" s="1335" t="s">
        <v>11</v>
      </c>
      <c r="B22" s="1"/>
      <c r="C22" s="355">
        <v>40575</v>
      </c>
      <c r="D22" s="1">
        <f>D21+(E21)</f>
        <v>760.09500000000003</v>
      </c>
      <c r="E22" s="384">
        <v>3.3</v>
      </c>
      <c r="F22" s="1339">
        <v>40589</v>
      </c>
      <c r="G22" s="1335">
        <f>AVERAGE(D22:D23)</f>
        <v>804.64499999999998</v>
      </c>
      <c r="H22" s="6">
        <f t="shared" si="0"/>
        <v>365.30883</v>
      </c>
      <c r="I22" s="492">
        <v>40862</v>
      </c>
      <c r="J22" s="493">
        <f>G40</f>
        <v>1694.8949999999998</v>
      </c>
      <c r="K22" s="1347" t="s">
        <v>260</v>
      </c>
      <c r="L22" s="1337" t="s">
        <v>11</v>
      </c>
      <c r="M22" s="1"/>
      <c r="N22" s="355">
        <v>40575</v>
      </c>
      <c r="O22" s="1">
        <f>O21+(P21)</f>
        <v>673.24999999999989</v>
      </c>
      <c r="P22" s="6">
        <v>2.97</v>
      </c>
      <c r="Q22" s="1339">
        <v>40589</v>
      </c>
      <c r="R22" s="1335">
        <f>AVERAGE(O22:O23)</f>
        <v>713.34499999999991</v>
      </c>
      <c r="S22" s="6">
        <f t="shared" si="1"/>
        <v>323.85862999999995</v>
      </c>
      <c r="T22" s="492">
        <v>40862</v>
      </c>
      <c r="U22" s="493">
        <f>R40</f>
        <v>1510.5400000000002</v>
      </c>
      <c r="Y22" t="s">
        <v>468</v>
      </c>
    </row>
    <row r="23" spans="1:25">
      <c r="A23" s="1336"/>
      <c r="B23" s="1"/>
      <c r="C23" s="385" t="s">
        <v>209</v>
      </c>
      <c r="D23" s="1">
        <f>D22+(27*E22)</f>
        <v>849.19500000000005</v>
      </c>
      <c r="E23" s="1">
        <v>3.3</v>
      </c>
      <c r="F23" s="1340"/>
      <c r="G23" s="1336"/>
      <c r="H23" s="6">
        <f t="shared" si="0"/>
        <v>0</v>
      </c>
      <c r="I23" s="492">
        <v>40892</v>
      </c>
      <c r="J23" s="493">
        <f>G42</f>
        <v>1768.0949999999998</v>
      </c>
      <c r="K23" s="1348"/>
      <c r="L23" s="1338"/>
      <c r="M23" s="1"/>
      <c r="N23" s="385" t="s">
        <v>195</v>
      </c>
      <c r="O23" s="1">
        <f>O22+(27*P22)</f>
        <v>753.43999999999994</v>
      </c>
      <c r="P23" s="1">
        <v>2.97</v>
      </c>
      <c r="Q23" s="1340"/>
      <c r="R23" s="1336"/>
      <c r="S23" s="6">
        <f t="shared" si="1"/>
        <v>0</v>
      </c>
      <c r="T23" s="492">
        <v>40892</v>
      </c>
      <c r="U23" s="493">
        <f>R42</f>
        <v>1568.4900000000002</v>
      </c>
    </row>
    <row r="24" spans="1:25" ht="15" customHeight="1">
      <c r="A24" s="1335" t="s">
        <v>12</v>
      </c>
      <c r="B24" s="1"/>
      <c r="C24" s="355">
        <v>40603</v>
      </c>
      <c r="D24" s="1">
        <f>D23+(E23)</f>
        <v>852.495</v>
      </c>
      <c r="E24" s="384">
        <v>3.3</v>
      </c>
      <c r="F24" s="1339">
        <v>40617</v>
      </c>
      <c r="G24" s="1335">
        <f>AVERAGE(D24:D25)</f>
        <v>901.995</v>
      </c>
      <c r="H24" s="6">
        <f t="shared" si="0"/>
        <v>409.50573000000003</v>
      </c>
      <c r="I24" s="492">
        <v>40923</v>
      </c>
      <c r="J24" s="493">
        <f>G44</f>
        <v>1842.4949999999999</v>
      </c>
      <c r="K24" s="1348"/>
      <c r="L24" s="1337" t="s">
        <v>12</v>
      </c>
      <c r="M24" s="1"/>
      <c r="N24" s="355">
        <v>40603</v>
      </c>
      <c r="O24" s="1">
        <f>O23+(P23)</f>
        <v>756.41</v>
      </c>
      <c r="P24" s="1">
        <v>2.97</v>
      </c>
      <c r="Q24" s="1339">
        <v>40617</v>
      </c>
      <c r="R24" s="1335">
        <f>AVERAGE(O24:O25)</f>
        <v>800.96</v>
      </c>
      <c r="S24" s="6">
        <f t="shared" si="1"/>
        <v>363.63584000000003</v>
      </c>
      <c r="T24" s="492">
        <v>40923</v>
      </c>
      <c r="U24" s="493">
        <f>R44</f>
        <v>1627.3900000000003</v>
      </c>
    </row>
    <row r="25" spans="1:25">
      <c r="A25" s="1336"/>
      <c r="B25" s="1"/>
      <c r="C25" s="355">
        <v>40633</v>
      </c>
      <c r="D25" s="1">
        <f>D24+(30*E24)</f>
        <v>951.495</v>
      </c>
      <c r="E25" s="1">
        <v>3.3</v>
      </c>
      <c r="F25" s="1340"/>
      <c r="G25" s="1336"/>
      <c r="H25" s="6">
        <f t="shared" si="0"/>
        <v>0</v>
      </c>
      <c r="I25" s="492">
        <v>40954</v>
      </c>
      <c r="J25" s="493">
        <f>G46</f>
        <v>1925.4449999999999</v>
      </c>
      <c r="K25" s="1348"/>
      <c r="L25" s="1338"/>
      <c r="M25" s="1"/>
      <c r="N25" s="355">
        <v>40633</v>
      </c>
      <c r="O25" s="1">
        <f>O24+(30*P24)</f>
        <v>845.51</v>
      </c>
      <c r="P25" s="1">
        <v>2.97</v>
      </c>
      <c r="Q25" s="1340"/>
      <c r="R25" s="1336"/>
      <c r="S25" s="6">
        <f t="shared" si="1"/>
        <v>0</v>
      </c>
      <c r="T25" s="492">
        <v>40954</v>
      </c>
      <c r="U25" s="493">
        <f>R46</f>
        <v>1697.8850000000004</v>
      </c>
    </row>
    <row r="26" spans="1:25">
      <c r="A26" s="1335" t="s">
        <v>193</v>
      </c>
      <c r="B26" s="1"/>
      <c r="C26" s="355">
        <v>40634</v>
      </c>
      <c r="D26" s="1">
        <f>D25+(E25)</f>
        <v>954.79499999999996</v>
      </c>
      <c r="E26" s="1">
        <v>3.3</v>
      </c>
      <c r="F26" s="1339">
        <v>40648</v>
      </c>
      <c r="G26" s="1335">
        <f>AVERAGE(D26:D27)</f>
        <v>1002.645</v>
      </c>
      <c r="H26" s="6">
        <f t="shared" si="0"/>
        <v>455.20083</v>
      </c>
      <c r="I26" s="492">
        <v>40983</v>
      </c>
      <c r="J26" s="493">
        <f>G48</f>
        <v>2022.7950000000001</v>
      </c>
      <c r="K26" s="1348"/>
      <c r="L26" s="1337" t="s">
        <v>193</v>
      </c>
      <c r="M26" s="1"/>
      <c r="N26" s="355">
        <v>40634</v>
      </c>
      <c r="O26" s="1">
        <f>O25+(P25)</f>
        <v>848.48</v>
      </c>
      <c r="P26" s="1">
        <v>2.97</v>
      </c>
      <c r="Q26" s="1339">
        <v>40648</v>
      </c>
      <c r="R26" s="1335">
        <f>AVERAGE(O26:O27)</f>
        <v>891.54500000000007</v>
      </c>
      <c r="S26" s="6">
        <f t="shared" si="1"/>
        <v>404.76143000000002</v>
      </c>
      <c r="T26" s="492">
        <v>40983</v>
      </c>
      <c r="U26" s="493">
        <f>R48</f>
        <v>1785.5000000000005</v>
      </c>
    </row>
    <row r="27" spans="1:25">
      <c r="A27" s="1336"/>
      <c r="B27" s="1"/>
      <c r="C27" s="355">
        <v>40663</v>
      </c>
      <c r="D27" s="1">
        <f>D26+(29*E26)</f>
        <v>1050.4949999999999</v>
      </c>
      <c r="E27" s="1">
        <v>3.3</v>
      </c>
      <c r="F27" s="1340"/>
      <c r="G27" s="1336"/>
      <c r="H27" s="6">
        <f t="shared" si="0"/>
        <v>0</v>
      </c>
      <c r="I27" s="492">
        <v>41014</v>
      </c>
      <c r="J27" s="493">
        <f>G50</f>
        <v>2123.4450000000002</v>
      </c>
      <c r="K27" s="1348"/>
      <c r="L27" s="1338"/>
      <c r="M27" s="1"/>
      <c r="N27" s="355">
        <v>40663</v>
      </c>
      <c r="O27" s="1">
        <f>O26+(29*P26)</f>
        <v>934.61</v>
      </c>
      <c r="P27" s="1">
        <v>2.97</v>
      </c>
      <c r="Q27" s="1340"/>
      <c r="R27" s="1336"/>
      <c r="S27" s="6">
        <f t="shared" si="1"/>
        <v>0</v>
      </c>
      <c r="T27" s="492">
        <v>41014</v>
      </c>
      <c r="U27" s="493">
        <f>R50</f>
        <v>1876.0850000000005</v>
      </c>
    </row>
    <row r="28" spans="1:25">
      <c r="A28" s="1335" t="s">
        <v>0</v>
      </c>
      <c r="B28" s="1"/>
      <c r="C28" s="355">
        <v>40664</v>
      </c>
      <c r="D28" s="1">
        <f>D27+E28</f>
        <v>1053.7949999999998</v>
      </c>
      <c r="E28" s="383">
        <v>3.3</v>
      </c>
      <c r="F28" s="1339">
        <v>40678</v>
      </c>
      <c r="G28" s="1335">
        <f>AVERAGE(D28:D29)</f>
        <v>1103.2949999999998</v>
      </c>
      <c r="H28" s="6">
        <f t="shared" si="0"/>
        <v>500.89592999999996</v>
      </c>
      <c r="I28" s="492">
        <v>41044</v>
      </c>
      <c r="J28" s="493">
        <f>G52</f>
        <v>2224.0950000000003</v>
      </c>
      <c r="K28" s="1348"/>
      <c r="L28" s="1337" t="s">
        <v>0</v>
      </c>
      <c r="M28" s="1"/>
      <c r="N28" s="355">
        <v>40664</v>
      </c>
      <c r="O28" s="1">
        <f>O27+P28</f>
        <v>937.58</v>
      </c>
      <c r="P28" s="1">
        <v>2.97</v>
      </c>
      <c r="Q28" s="1339">
        <v>40678</v>
      </c>
      <c r="R28" s="1335">
        <f>AVERAGE(O28:O29)</f>
        <v>982.13000000000011</v>
      </c>
      <c r="S28" s="6">
        <f t="shared" si="1"/>
        <v>445.88702000000006</v>
      </c>
      <c r="T28" s="492">
        <v>41044</v>
      </c>
      <c r="U28" s="493">
        <f>R52</f>
        <v>1966.6700000000005</v>
      </c>
    </row>
    <row r="29" spans="1:25">
      <c r="A29" s="1336"/>
      <c r="B29" s="1"/>
      <c r="C29" s="355">
        <v>40694</v>
      </c>
      <c r="D29" s="1">
        <f>D28+(30*E28)</f>
        <v>1152.7949999999998</v>
      </c>
      <c r="E29" s="1">
        <v>3.3</v>
      </c>
      <c r="F29" s="1340"/>
      <c r="G29" s="1336"/>
      <c r="H29" s="6">
        <f t="shared" si="0"/>
        <v>0</v>
      </c>
      <c r="I29" s="492">
        <v>41075</v>
      </c>
      <c r="J29" s="493">
        <f>G54</f>
        <v>2324.7450000000003</v>
      </c>
      <c r="K29" s="1348"/>
      <c r="L29" s="1338"/>
      <c r="M29" s="1"/>
      <c r="N29" s="355">
        <v>40694</v>
      </c>
      <c r="O29" s="1">
        <f>O28+(30*P28)</f>
        <v>1026.68</v>
      </c>
      <c r="P29" s="1">
        <v>2.97</v>
      </c>
      <c r="Q29" s="1340"/>
      <c r="R29" s="1336"/>
      <c r="S29" s="6">
        <f t="shared" si="1"/>
        <v>0</v>
      </c>
      <c r="T29" s="492">
        <v>41075</v>
      </c>
      <c r="U29" s="493">
        <f>R54</f>
        <v>2057.2550000000006</v>
      </c>
    </row>
    <row r="30" spans="1:25">
      <c r="A30" s="1335" t="s">
        <v>1</v>
      </c>
      <c r="B30" s="1"/>
      <c r="C30" s="355">
        <v>40695</v>
      </c>
      <c r="D30" s="1">
        <f>D29+(E29)</f>
        <v>1156.0949999999998</v>
      </c>
      <c r="E30" s="1">
        <v>3.3</v>
      </c>
      <c r="F30" s="1339">
        <v>40709</v>
      </c>
      <c r="G30" s="1335">
        <f>AVERAGE(D30:D31)</f>
        <v>1203.9449999999997</v>
      </c>
      <c r="H30" s="6">
        <f t="shared" si="0"/>
        <v>546.59102999999993</v>
      </c>
      <c r="I30" s="492">
        <v>41105</v>
      </c>
      <c r="J30" s="493">
        <f>G56</f>
        <v>2425.3950000000004</v>
      </c>
      <c r="K30" s="1348"/>
      <c r="L30" s="1337" t="s">
        <v>1</v>
      </c>
      <c r="M30" s="1"/>
      <c r="N30" s="355">
        <v>40695</v>
      </c>
      <c r="O30" s="1">
        <f>O29+(P29)</f>
        <v>1029.6500000000001</v>
      </c>
      <c r="P30" s="1">
        <v>2.97</v>
      </c>
      <c r="Q30" s="1339">
        <v>40709</v>
      </c>
      <c r="R30" s="1335">
        <f>AVERAGE(O30:O31)</f>
        <v>1072.7150000000001</v>
      </c>
      <c r="S30" s="6">
        <f t="shared" si="1"/>
        <v>487.01261000000011</v>
      </c>
      <c r="T30" s="492">
        <v>41105</v>
      </c>
      <c r="U30" s="493">
        <f>R56</f>
        <v>2147.84</v>
      </c>
    </row>
    <row r="31" spans="1:25">
      <c r="A31" s="1336"/>
      <c r="B31" s="1"/>
      <c r="C31" s="355">
        <v>40724</v>
      </c>
      <c r="D31" s="1">
        <f>D30+(29*E30)</f>
        <v>1251.7949999999998</v>
      </c>
      <c r="E31" s="1">
        <v>3.3</v>
      </c>
      <c r="F31" s="1340"/>
      <c r="G31" s="1336"/>
      <c r="H31" s="6">
        <f t="shared" si="0"/>
        <v>0</v>
      </c>
      <c r="I31" s="356"/>
      <c r="J31" s="1"/>
      <c r="K31" s="1348"/>
      <c r="L31" s="1338"/>
      <c r="M31" s="1"/>
      <c r="N31" s="355">
        <v>30</v>
      </c>
      <c r="O31" s="1">
        <f>O30+(29*P30)</f>
        <v>1115.7800000000002</v>
      </c>
      <c r="P31" s="1">
        <v>2.97</v>
      </c>
      <c r="Q31" s="1340"/>
      <c r="R31" s="1336"/>
      <c r="S31" s="6">
        <f t="shared" si="1"/>
        <v>0</v>
      </c>
      <c r="T31" s="356"/>
      <c r="U31" s="1"/>
    </row>
    <row r="32" spans="1:25">
      <c r="A32" s="1335" t="s">
        <v>2</v>
      </c>
      <c r="C32" s="355">
        <v>40725</v>
      </c>
      <c r="D32" s="1">
        <f>D31+(E31)</f>
        <v>1255.0949999999998</v>
      </c>
      <c r="E32" s="1">
        <v>3.3</v>
      </c>
      <c r="F32" s="1339">
        <v>40739</v>
      </c>
      <c r="G32" s="1335">
        <f>AVERAGE(D32:D33)</f>
        <v>1304.5949999999998</v>
      </c>
      <c r="H32" s="6">
        <f t="shared" si="0"/>
        <v>592.28612999999996</v>
      </c>
      <c r="I32" s="1"/>
      <c r="J32" s="1"/>
      <c r="K32" s="1348"/>
      <c r="L32" s="1337" t="s">
        <v>2</v>
      </c>
      <c r="N32" s="355">
        <v>40725</v>
      </c>
      <c r="O32" s="1">
        <f>O31+(P31)</f>
        <v>1118.7500000000002</v>
      </c>
      <c r="P32" s="1">
        <v>2.97</v>
      </c>
      <c r="Q32" s="1339">
        <v>40739</v>
      </c>
      <c r="R32" s="1335">
        <f>AVERAGE(O32:O33)</f>
        <v>1163.3000000000002</v>
      </c>
      <c r="S32" s="6">
        <f t="shared" si="1"/>
        <v>528.1382000000001</v>
      </c>
      <c r="T32" s="1"/>
      <c r="U32" s="1"/>
    </row>
    <row r="33" spans="1:21">
      <c r="A33" s="1336"/>
      <c r="B33" t="s">
        <v>190</v>
      </c>
      <c r="C33" s="355">
        <v>40755</v>
      </c>
      <c r="D33" s="1">
        <f>D32+(30*E32)</f>
        <v>1354.0949999999998</v>
      </c>
      <c r="E33" s="1">
        <v>3.3</v>
      </c>
      <c r="F33" s="1340"/>
      <c r="G33" s="1336"/>
      <c r="H33" s="6">
        <f t="shared" si="0"/>
        <v>0</v>
      </c>
      <c r="I33" s="1"/>
      <c r="J33" s="1"/>
      <c r="K33" s="1348"/>
      <c r="L33" s="1338"/>
      <c r="M33" t="s">
        <v>190</v>
      </c>
      <c r="N33" s="355">
        <v>40755</v>
      </c>
      <c r="O33" s="1">
        <f>O32+(30*P32)</f>
        <v>1207.8500000000001</v>
      </c>
      <c r="P33" s="1">
        <v>2.97</v>
      </c>
      <c r="Q33" s="1340"/>
      <c r="R33" s="1336"/>
      <c r="S33" s="6">
        <f t="shared" si="1"/>
        <v>0</v>
      </c>
      <c r="T33" s="1"/>
      <c r="U33" s="1"/>
    </row>
    <row r="34" spans="1:21" ht="15" thickBot="1">
      <c r="A34" s="1335" t="s">
        <v>192</v>
      </c>
      <c r="B34" s="388"/>
      <c r="C34" s="355">
        <v>40756</v>
      </c>
      <c r="D34" s="1">
        <f>D33+(E33)</f>
        <v>1357.3949999999998</v>
      </c>
      <c r="E34" s="1">
        <v>3.3</v>
      </c>
      <c r="F34" s="1339">
        <v>40770</v>
      </c>
      <c r="G34" s="1335">
        <f>AVERAGE(D34:D35)</f>
        <v>1406.8949999999998</v>
      </c>
      <c r="H34" s="6">
        <f t="shared" si="0"/>
        <v>638.73032999999987</v>
      </c>
      <c r="I34" s="1"/>
      <c r="J34" s="1"/>
      <c r="K34" s="1348"/>
      <c r="L34" s="1337" t="s">
        <v>192</v>
      </c>
      <c r="M34" s="1"/>
      <c r="N34" s="355">
        <v>40756</v>
      </c>
      <c r="O34" s="1">
        <f>O33+(P33)</f>
        <v>1210.8200000000002</v>
      </c>
      <c r="P34" s="1">
        <v>2.97</v>
      </c>
      <c r="Q34" s="1339">
        <v>40770</v>
      </c>
      <c r="R34" s="1335">
        <f>AVERAGE(O34:O35)</f>
        <v>1255.3700000000001</v>
      </c>
      <c r="S34" s="6">
        <f t="shared" si="1"/>
        <v>569.93798000000004</v>
      </c>
      <c r="T34" s="1"/>
      <c r="U34" s="1"/>
    </row>
    <row r="35" spans="1:21" ht="15" thickBot="1">
      <c r="A35" s="1336"/>
      <c r="B35" s="1"/>
      <c r="C35" s="355">
        <v>40786</v>
      </c>
      <c r="D35" s="1">
        <f>D34+(30*E34)</f>
        <v>1456.3949999999998</v>
      </c>
      <c r="E35" s="1">
        <v>3.3</v>
      </c>
      <c r="F35" s="1340"/>
      <c r="G35" s="1336"/>
      <c r="H35" s="6">
        <f>D35*0.454</f>
        <v>661.20332999999994</v>
      </c>
      <c r="I35" s="1"/>
      <c r="J35" s="1"/>
      <c r="K35" s="1349"/>
      <c r="L35" s="1338"/>
      <c r="M35" s="388"/>
      <c r="N35" s="355">
        <v>40786</v>
      </c>
      <c r="O35" s="1">
        <f>O34+(30*P34)</f>
        <v>1299.92</v>
      </c>
      <c r="P35" s="1">
        <v>2.97</v>
      </c>
      <c r="Q35" s="1340"/>
      <c r="R35" s="1336"/>
      <c r="S35" s="555">
        <f>O35*0.454</f>
        <v>590.16368</v>
      </c>
      <c r="T35" s="1"/>
      <c r="U35" s="1"/>
    </row>
    <row r="36" spans="1:21" s="496" customFormat="1">
      <c r="A36" s="1350" t="s">
        <v>6</v>
      </c>
      <c r="B36" s="493"/>
      <c r="C36" s="494">
        <v>40787</v>
      </c>
      <c r="D36" s="493">
        <f>D35+(E35)</f>
        <v>1459.6949999999997</v>
      </c>
      <c r="E36" s="493">
        <f t="shared" ref="E36:E39" si="2">E35</f>
        <v>3.3</v>
      </c>
      <c r="F36" s="1352">
        <v>40801</v>
      </c>
      <c r="G36" s="1350">
        <f>AVERAGE(D36:D37)</f>
        <v>1507.5449999999996</v>
      </c>
      <c r="H36" s="558"/>
      <c r="I36" s="493"/>
      <c r="J36" s="493"/>
      <c r="K36" s="495"/>
      <c r="L36" s="1354" t="s">
        <v>6</v>
      </c>
      <c r="M36" s="493"/>
      <c r="N36" s="494">
        <v>40787</v>
      </c>
      <c r="O36" s="493">
        <f>O35+(P35)</f>
        <v>1302.8900000000001</v>
      </c>
      <c r="P36" s="493">
        <f t="shared" ref="P36:P39" si="3">P35</f>
        <v>2.97</v>
      </c>
      <c r="Q36" s="1352">
        <v>40801</v>
      </c>
      <c r="R36" s="1350">
        <f>AVERAGE(O36:O37)</f>
        <v>1345.9550000000002</v>
      </c>
      <c r="S36" s="558"/>
      <c r="T36" s="493"/>
      <c r="U36" s="493"/>
    </row>
    <row r="37" spans="1:21" s="496" customFormat="1">
      <c r="A37" s="1351"/>
      <c r="B37" s="493"/>
      <c r="C37" s="494">
        <v>40816</v>
      </c>
      <c r="D37" s="493">
        <f>D36+(29*E36)</f>
        <v>1555.3949999999998</v>
      </c>
      <c r="E37" s="493">
        <f t="shared" si="2"/>
        <v>3.3</v>
      </c>
      <c r="F37" s="1353"/>
      <c r="G37" s="1351"/>
      <c r="H37" s="556"/>
      <c r="I37" s="493"/>
      <c r="J37" s="493"/>
      <c r="K37" s="497"/>
      <c r="L37" s="1355"/>
      <c r="M37" s="493"/>
      <c r="N37" s="494">
        <v>40816</v>
      </c>
      <c r="O37" s="493">
        <f>O36+(29*P36)</f>
        <v>1389.0200000000002</v>
      </c>
      <c r="P37" s="493">
        <f t="shared" si="3"/>
        <v>2.97</v>
      </c>
      <c r="Q37" s="1353"/>
      <c r="R37" s="1351"/>
      <c r="S37" s="556"/>
      <c r="T37" s="493"/>
      <c r="U37" s="493"/>
    </row>
    <row r="38" spans="1:21" s="496" customFormat="1">
      <c r="A38" s="1350" t="s">
        <v>7</v>
      </c>
      <c r="B38" s="493"/>
      <c r="C38" s="494">
        <v>40817</v>
      </c>
      <c r="D38" s="493">
        <f>D37+(E37)</f>
        <v>1558.6949999999997</v>
      </c>
      <c r="E38" s="493">
        <f t="shared" si="2"/>
        <v>3.3</v>
      </c>
      <c r="F38" s="1352">
        <v>40831</v>
      </c>
      <c r="G38" s="1350">
        <f>AVERAGE(D38:D39)</f>
        <v>1608.1949999999997</v>
      </c>
      <c r="H38" s="558"/>
      <c r="I38" s="493"/>
      <c r="J38" s="493"/>
      <c r="K38" s="495"/>
      <c r="L38" s="1354" t="s">
        <v>7</v>
      </c>
      <c r="M38" s="493"/>
      <c r="N38" s="494">
        <v>40817</v>
      </c>
      <c r="O38" s="493">
        <f>O37+(P37)</f>
        <v>1391.9900000000002</v>
      </c>
      <c r="P38" s="493">
        <f t="shared" si="3"/>
        <v>2.97</v>
      </c>
      <c r="Q38" s="1352">
        <v>40831</v>
      </c>
      <c r="R38" s="1350">
        <f>AVERAGE(O38:O39)</f>
        <v>1436.5400000000002</v>
      </c>
      <c r="S38" s="558"/>
      <c r="T38" s="493"/>
      <c r="U38" s="493"/>
    </row>
    <row r="39" spans="1:21" s="496" customFormat="1">
      <c r="A39" s="1351"/>
      <c r="B39" s="493"/>
      <c r="C39" s="494">
        <v>40847</v>
      </c>
      <c r="D39" s="493">
        <f>D38+(30*E38)</f>
        <v>1657.6949999999997</v>
      </c>
      <c r="E39" s="493">
        <f t="shared" si="2"/>
        <v>3.3</v>
      </c>
      <c r="F39" s="1353"/>
      <c r="G39" s="1351"/>
      <c r="H39" s="556"/>
      <c r="I39" s="493"/>
      <c r="J39" s="493"/>
      <c r="K39" s="497"/>
      <c r="L39" s="1355"/>
      <c r="M39" s="493"/>
      <c r="N39" s="494">
        <v>40847</v>
      </c>
      <c r="O39" s="493">
        <f>O38+(30*P38)</f>
        <v>1481.0900000000001</v>
      </c>
      <c r="P39" s="493">
        <f t="shared" si="3"/>
        <v>2.97</v>
      </c>
      <c r="Q39" s="1353"/>
      <c r="R39" s="1351"/>
      <c r="S39" s="556"/>
      <c r="T39" s="493"/>
      <c r="U39" s="493"/>
    </row>
    <row r="40" spans="1:21" s="496" customFormat="1">
      <c r="A40" s="1350" t="s">
        <v>8</v>
      </c>
      <c r="B40" s="493"/>
      <c r="C40" s="494">
        <v>40848</v>
      </c>
      <c r="D40" s="493">
        <f>D39+E40</f>
        <v>1660.0949999999998</v>
      </c>
      <c r="E40" s="493">
        <f>E16</f>
        <v>2.4</v>
      </c>
      <c r="F40" s="1352">
        <v>40862</v>
      </c>
      <c r="G40" s="1350">
        <f>AVERAGE(D40:D41)</f>
        <v>1694.8949999999998</v>
      </c>
      <c r="H40" s="558"/>
      <c r="I40" s="493"/>
      <c r="J40" s="493"/>
      <c r="K40" s="495"/>
      <c r="L40" s="1354" t="s">
        <v>8</v>
      </c>
      <c r="M40" s="493"/>
      <c r="N40" s="494">
        <v>40848</v>
      </c>
      <c r="O40" s="493">
        <f>O39+P40</f>
        <v>1482.9900000000002</v>
      </c>
      <c r="P40" s="493">
        <f>P16</f>
        <v>1.9</v>
      </c>
      <c r="Q40" s="1352">
        <v>40862</v>
      </c>
      <c r="R40" s="1350">
        <f>AVERAGE(O40:O41)</f>
        <v>1510.5400000000002</v>
      </c>
      <c r="S40" s="558"/>
      <c r="T40" s="493"/>
      <c r="U40" s="493"/>
    </row>
    <row r="41" spans="1:21" s="496" customFormat="1">
      <c r="A41" s="1351"/>
      <c r="B41" s="493"/>
      <c r="C41" s="494">
        <v>40877</v>
      </c>
      <c r="D41" s="493">
        <f>D40+(29*E40)</f>
        <v>1729.6949999999997</v>
      </c>
      <c r="E41" s="493">
        <f t="shared" ref="E41:E51" si="4">E17</f>
        <v>2.4</v>
      </c>
      <c r="F41" s="1353"/>
      <c r="G41" s="1351"/>
      <c r="H41" s="556"/>
      <c r="I41" s="493"/>
      <c r="J41" s="493"/>
      <c r="K41" s="497"/>
      <c r="L41" s="1355"/>
      <c r="M41" s="493"/>
      <c r="N41" s="494">
        <v>40877</v>
      </c>
      <c r="O41" s="493">
        <f>O40+(29*P40)</f>
        <v>1538.0900000000001</v>
      </c>
      <c r="P41" s="493">
        <f t="shared" ref="P41:P51" si="5">P17</f>
        <v>1.9</v>
      </c>
      <c r="Q41" s="1353"/>
      <c r="R41" s="1351"/>
      <c r="S41" s="556"/>
      <c r="T41" s="493"/>
      <c r="U41" s="493"/>
    </row>
    <row r="42" spans="1:21" s="496" customFormat="1">
      <c r="A42" s="1350" t="s">
        <v>9</v>
      </c>
      <c r="B42" s="493"/>
      <c r="C42" s="494">
        <v>40878</v>
      </c>
      <c r="D42" s="493">
        <f>D41+(E41)</f>
        <v>1732.0949999999998</v>
      </c>
      <c r="E42" s="493">
        <f t="shared" si="4"/>
        <v>2.4</v>
      </c>
      <c r="F42" s="1352">
        <v>40892</v>
      </c>
      <c r="G42" s="1350">
        <f>AVERAGE(D42:D43)</f>
        <v>1768.0949999999998</v>
      </c>
      <c r="H42" s="558"/>
      <c r="I42" s="493"/>
      <c r="J42" s="493"/>
      <c r="K42" s="495"/>
      <c r="L42" s="1354" t="s">
        <v>9</v>
      </c>
      <c r="M42" s="493"/>
      <c r="N42" s="494">
        <v>40878</v>
      </c>
      <c r="O42" s="493">
        <f>O41+(P41)</f>
        <v>1539.9900000000002</v>
      </c>
      <c r="P42" s="493">
        <f t="shared" si="5"/>
        <v>1.9</v>
      </c>
      <c r="Q42" s="1352">
        <v>40892</v>
      </c>
      <c r="R42" s="1350">
        <f>AVERAGE(O42:O43)</f>
        <v>1568.4900000000002</v>
      </c>
      <c r="S42" s="558"/>
      <c r="T42" s="493"/>
      <c r="U42" s="493"/>
    </row>
    <row r="43" spans="1:21" s="496" customFormat="1">
      <c r="A43" s="1351"/>
      <c r="B43" s="493"/>
      <c r="C43" s="494">
        <v>40908</v>
      </c>
      <c r="D43" s="493">
        <f>D42+(30*E42)</f>
        <v>1804.0949999999998</v>
      </c>
      <c r="E43" s="493">
        <f t="shared" si="4"/>
        <v>2.4</v>
      </c>
      <c r="F43" s="1353"/>
      <c r="G43" s="1351"/>
      <c r="H43" s="556"/>
      <c r="I43" s="493"/>
      <c r="J43" s="493"/>
      <c r="K43" s="497"/>
      <c r="L43" s="1355"/>
      <c r="M43" s="493"/>
      <c r="N43" s="494">
        <v>40908</v>
      </c>
      <c r="O43" s="493">
        <f>O42+(30*P42)</f>
        <v>1596.9900000000002</v>
      </c>
      <c r="P43" s="493">
        <f t="shared" si="5"/>
        <v>1.9</v>
      </c>
      <c r="Q43" s="1353"/>
      <c r="R43" s="1351"/>
      <c r="S43" s="556"/>
      <c r="T43" s="493"/>
      <c r="U43" s="493"/>
    </row>
    <row r="44" spans="1:21" s="496" customFormat="1">
      <c r="A44" s="1350" t="s">
        <v>10</v>
      </c>
      <c r="B44" s="493"/>
      <c r="C44" s="494">
        <v>40544</v>
      </c>
      <c r="D44" s="493">
        <f>D43+(E43)</f>
        <v>1806.4949999999999</v>
      </c>
      <c r="E44" s="493">
        <f t="shared" si="4"/>
        <v>2.4</v>
      </c>
      <c r="F44" s="1352">
        <v>40923</v>
      </c>
      <c r="G44" s="1350">
        <f>AVERAGE(D44:D45)</f>
        <v>1842.4949999999999</v>
      </c>
      <c r="H44" s="558"/>
      <c r="I44" s="493"/>
      <c r="J44" s="493"/>
      <c r="K44" s="495"/>
      <c r="L44" s="1354" t="s">
        <v>10</v>
      </c>
      <c r="M44" s="493"/>
      <c r="N44" s="494">
        <v>40544</v>
      </c>
      <c r="O44" s="493">
        <f>O43+(P43)</f>
        <v>1598.8900000000003</v>
      </c>
      <c r="P44" s="493">
        <f t="shared" si="5"/>
        <v>1.9</v>
      </c>
      <c r="Q44" s="1352">
        <v>40923</v>
      </c>
      <c r="R44" s="1350">
        <f>AVERAGE(O44:O45)</f>
        <v>1627.3900000000003</v>
      </c>
      <c r="S44" s="558"/>
      <c r="T44" s="493"/>
      <c r="U44" s="493"/>
    </row>
    <row r="45" spans="1:21" s="496" customFormat="1">
      <c r="A45" s="1351"/>
      <c r="B45" s="493"/>
      <c r="C45" s="494">
        <v>40574</v>
      </c>
      <c r="D45" s="493">
        <f>D44+(30*E44)</f>
        <v>1878.4949999999999</v>
      </c>
      <c r="E45" s="493">
        <f t="shared" si="4"/>
        <v>2.4</v>
      </c>
      <c r="F45" s="1353"/>
      <c r="G45" s="1351"/>
      <c r="H45" s="556"/>
      <c r="I45" s="493"/>
      <c r="J45" s="493"/>
      <c r="K45" s="497"/>
      <c r="L45" s="1355"/>
      <c r="M45" s="493"/>
      <c r="N45" s="494">
        <v>40574</v>
      </c>
      <c r="O45" s="493">
        <f>O44+(30*P44)</f>
        <v>1655.8900000000003</v>
      </c>
      <c r="P45" s="493">
        <f t="shared" si="5"/>
        <v>1.9</v>
      </c>
      <c r="Q45" s="1353"/>
      <c r="R45" s="1351"/>
      <c r="S45" s="556"/>
      <c r="T45" s="493"/>
      <c r="U45" s="493"/>
    </row>
    <row r="46" spans="1:21" s="496" customFormat="1">
      <c r="A46" s="1350" t="s">
        <v>11</v>
      </c>
      <c r="B46" s="493"/>
      <c r="C46" s="494">
        <v>40575</v>
      </c>
      <c r="D46" s="493">
        <f>D45+(E45)</f>
        <v>1880.895</v>
      </c>
      <c r="E46" s="493">
        <f t="shared" si="4"/>
        <v>3.3</v>
      </c>
      <c r="F46" s="1352">
        <v>40954</v>
      </c>
      <c r="G46" s="1350">
        <f>AVERAGE(D46:D47)</f>
        <v>1925.4449999999999</v>
      </c>
      <c r="H46" s="558"/>
      <c r="I46" s="493"/>
      <c r="J46" s="493"/>
      <c r="K46" s="495"/>
      <c r="L46" s="1354" t="s">
        <v>11</v>
      </c>
      <c r="M46" s="493"/>
      <c r="N46" s="494">
        <v>40575</v>
      </c>
      <c r="O46" s="493">
        <f>O45+(P45)</f>
        <v>1657.7900000000004</v>
      </c>
      <c r="P46" s="493">
        <f t="shared" si="5"/>
        <v>2.97</v>
      </c>
      <c r="Q46" s="1352">
        <v>40954</v>
      </c>
      <c r="R46" s="1350">
        <f>AVERAGE(O46:O47)</f>
        <v>1697.8850000000004</v>
      </c>
      <c r="S46" s="558"/>
      <c r="T46" s="493"/>
      <c r="U46" s="493"/>
    </row>
    <row r="47" spans="1:21" s="496" customFormat="1">
      <c r="A47" s="1351"/>
      <c r="B47" s="493"/>
      <c r="C47" s="494" t="s">
        <v>195</v>
      </c>
      <c r="D47" s="493">
        <f>D46+(27*E46)</f>
        <v>1969.9949999999999</v>
      </c>
      <c r="E47" s="493">
        <f t="shared" si="4"/>
        <v>3.3</v>
      </c>
      <c r="F47" s="1353"/>
      <c r="G47" s="1351"/>
      <c r="H47" s="556"/>
      <c r="I47" s="493"/>
      <c r="J47" s="493"/>
      <c r="K47" s="497"/>
      <c r="L47" s="1355"/>
      <c r="M47" s="493"/>
      <c r="N47" s="494" t="s">
        <v>195</v>
      </c>
      <c r="O47" s="493">
        <f>O46+(27*P46)</f>
        <v>1737.9800000000005</v>
      </c>
      <c r="P47" s="493">
        <f t="shared" si="5"/>
        <v>2.97</v>
      </c>
      <c r="Q47" s="1353"/>
      <c r="R47" s="1351"/>
      <c r="S47" s="556"/>
      <c r="T47" s="493"/>
      <c r="U47" s="493"/>
    </row>
    <row r="48" spans="1:21" s="496" customFormat="1">
      <c r="A48" s="1350" t="s">
        <v>12</v>
      </c>
      <c r="B48" s="493"/>
      <c r="C48" s="494">
        <v>40603</v>
      </c>
      <c r="D48" s="493">
        <f>D47+(E47)</f>
        <v>1973.2949999999998</v>
      </c>
      <c r="E48" s="493">
        <f t="shared" si="4"/>
        <v>3.3</v>
      </c>
      <c r="F48" s="1352">
        <v>40983</v>
      </c>
      <c r="G48" s="1350">
        <f>AVERAGE(D48:D49)</f>
        <v>2022.7950000000001</v>
      </c>
      <c r="H48" s="558"/>
      <c r="I48" s="493"/>
      <c r="J48" s="493"/>
      <c r="K48" s="495"/>
      <c r="L48" s="1354" t="s">
        <v>12</v>
      </c>
      <c r="M48" s="493"/>
      <c r="N48" s="494">
        <v>40603</v>
      </c>
      <c r="O48" s="493">
        <f>O47+(P47)</f>
        <v>1740.9500000000005</v>
      </c>
      <c r="P48" s="493">
        <f t="shared" si="5"/>
        <v>2.97</v>
      </c>
      <c r="Q48" s="1352">
        <v>40983</v>
      </c>
      <c r="R48" s="1350">
        <f>AVERAGE(O48:O49)</f>
        <v>1785.5000000000005</v>
      </c>
      <c r="S48" s="558"/>
      <c r="T48" s="493"/>
      <c r="U48" s="493"/>
    </row>
    <row r="49" spans="1:21" s="496" customFormat="1">
      <c r="A49" s="1351"/>
      <c r="B49" s="493"/>
      <c r="C49" s="494">
        <v>40633</v>
      </c>
      <c r="D49" s="493">
        <f>D48+(30*E48)</f>
        <v>2072.2950000000001</v>
      </c>
      <c r="E49" s="493">
        <f t="shared" si="4"/>
        <v>3.3</v>
      </c>
      <c r="F49" s="1353"/>
      <c r="G49" s="1351"/>
      <c r="H49" s="556"/>
      <c r="I49" s="493"/>
      <c r="J49" s="493"/>
      <c r="K49" s="497"/>
      <c r="L49" s="1355"/>
      <c r="M49" s="493"/>
      <c r="N49" s="494">
        <v>40633</v>
      </c>
      <c r="O49" s="493">
        <f>O48+(30*P48)</f>
        <v>1830.0500000000004</v>
      </c>
      <c r="P49" s="493">
        <f t="shared" si="5"/>
        <v>2.97</v>
      </c>
      <c r="Q49" s="1353"/>
      <c r="R49" s="1351"/>
      <c r="S49" s="556"/>
      <c r="T49" s="493"/>
      <c r="U49" s="493"/>
    </row>
    <row r="50" spans="1:21" s="496" customFormat="1">
      <c r="A50" s="1350" t="s">
        <v>193</v>
      </c>
      <c r="B50" s="493"/>
      <c r="C50" s="494">
        <v>40634</v>
      </c>
      <c r="D50" s="493">
        <f>D49+(E49)</f>
        <v>2075.5950000000003</v>
      </c>
      <c r="E50" s="493">
        <f t="shared" si="4"/>
        <v>3.3</v>
      </c>
      <c r="F50" s="1352">
        <v>41014</v>
      </c>
      <c r="G50" s="1350">
        <f>AVERAGE(D50:D51)</f>
        <v>2123.4450000000002</v>
      </c>
      <c r="H50" s="558"/>
      <c r="I50" s="493"/>
      <c r="J50" s="493"/>
      <c r="K50" s="495"/>
      <c r="L50" s="1354" t="s">
        <v>193</v>
      </c>
      <c r="M50" s="493"/>
      <c r="N50" s="494">
        <v>40634</v>
      </c>
      <c r="O50" s="493">
        <f>O49+(P49)</f>
        <v>1833.0200000000004</v>
      </c>
      <c r="P50" s="493">
        <f t="shared" si="5"/>
        <v>2.97</v>
      </c>
      <c r="Q50" s="1352">
        <v>41014</v>
      </c>
      <c r="R50" s="1350">
        <f>AVERAGE(O50:O51)</f>
        <v>1876.0850000000005</v>
      </c>
      <c r="S50" s="558"/>
      <c r="T50" s="493"/>
      <c r="U50" s="493"/>
    </row>
    <row r="51" spans="1:21" s="496" customFormat="1">
      <c r="A51" s="1351"/>
      <c r="B51" s="493"/>
      <c r="C51" s="494">
        <v>40663</v>
      </c>
      <c r="D51" s="493">
        <f>D50+(29*E50)</f>
        <v>2171.2950000000001</v>
      </c>
      <c r="E51" s="493">
        <f t="shared" si="4"/>
        <v>3.3</v>
      </c>
      <c r="F51" s="1353"/>
      <c r="G51" s="1351"/>
      <c r="H51" s="556"/>
      <c r="I51" s="493"/>
      <c r="J51" s="493"/>
      <c r="K51" s="497"/>
      <c r="L51" s="1355"/>
      <c r="M51" s="493"/>
      <c r="N51" s="494">
        <v>40663</v>
      </c>
      <c r="O51" s="493">
        <f>O50+(29*P50)</f>
        <v>1919.1500000000005</v>
      </c>
      <c r="P51" s="493">
        <f t="shared" si="5"/>
        <v>2.97</v>
      </c>
      <c r="Q51" s="1353"/>
      <c r="R51" s="1351"/>
      <c r="S51" s="556"/>
      <c r="T51" s="493"/>
      <c r="U51" s="493"/>
    </row>
    <row r="52" spans="1:21" s="496" customFormat="1">
      <c r="A52" s="1350" t="s">
        <v>0</v>
      </c>
      <c r="B52" s="493"/>
      <c r="C52" s="494">
        <v>40664</v>
      </c>
      <c r="D52" s="493">
        <f>D51+E52</f>
        <v>2174.5950000000003</v>
      </c>
      <c r="E52" s="493">
        <f t="shared" ref="E52:E57" si="6">E28</f>
        <v>3.3</v>
      </c>
      <c r="F52" s="1352">
        <v>41044</v>
      </c>
      <c r="G52" s="1350">
        <f>AVERAGE(D52:D53)</f>
        <v>2224.0950000000003</v>
      </c>
      <c r="H52" s="558"/>
      <c r="I52" s="493"/>
      <c r="J52" s="493"/>
      <c r="K52" s="495"/>
      <c r="L52" s="1354" t="s">
        <v>0</v>
      </c>
      <c r="M52" s="493"/>
      <c r="N52" s="494">
        <v>40664</v>
      </c>
      <c r="O52" s="493">
        <f>O51+P52</f>
        <v>1922.1200000000006</v>
      </c>
      <c r="P52" s="493">
        <f t="shared" ref="P52:P57" si="7">P28</f>
        <v>2.97</v>
      </c>
      <c r="Q52" s="1352">
        <v>41044</v>
      </c>
      <c r="R52" s="1350">
        <f>AVERAGE(O52:O53)</f>
        <v>1966.6700000000005</v>
      </c>
      <c r="S52" s="558"/>
      <c r="T52" s="493"/>
      <c r="U52" s="493"/>
    </row>
    <row r="53" spans="1:21" s="496" customFormat="1">
      <c r="A53" s="1351"/>
      <c r="B53" s="493"/>
      <c r="C53" s="494">
        <v>40694</v>
      </c>
      <c r="D53" s="493">
        <f>D52+(30*E52)</f>
        <v>2273.5950000000003</v>
      </c>
      <c r="E53" s="493">
        <f t="shared" si="6"/>
        <v>3.3</v>
      </c>
      <c r="F53" s="1353"/>
      <c r="G53" s="1351"/>
      <c r="H53" s="556"/>
      <c r="I53" s="493"/>
      <c r="J53" s="493"/>
      <c r="K53" s="497"/>
      <c r="L53" s="1355"/>
      <c r="M53" s="493"/>
      <c r="N53" s="494">
        <v>40694</v>
      </c>
      <c r="O53" s="493">
        <f>O52+(30*P52)</f>
        <v>2011.2200000000005</v>
      </c>
      <c r="P53" s="493">
        <f t="shared" si="7"/>
        <v>2.97</v>
      </c>
      <c r="Q53" s="1353"/>
      <c r="R53" s="1351"/>
      <c r="S53" s="556"/>
      <c r="T53" s="493"/>
      <c r="U53" s="493"/>
    </row>
    <row r="54" spans="1:21" s="496" customFormat="1">
      <c r="A54" s="1350" t="s">
        <v>1</v>
      </c>
      <c r="B54" s="493"/>
      <c r="C54" s="494">
        <v>40695</v>
      </c>
      <c r="D54" s="493">
        <f>D53+(E53)</f>
        <v>2276.8950000000004</v>
      </c>
      <c r="E54" s="493">
        <f t="shared" si="6"/>
        <v>3.3</v>
      </c>
      <c r="F54" s="1352">
        <v>41075</v>
      </c>
      <c r="G54" s="1350">
        <f>AVERAGE(D54:D55)</f>
        <v>2324.7450000000003</v>
      </c>
      <c r="H54" s="558"/>
      <c r="I54" s="493"/>
      <c r="J54" s="493"/>
      <c r="K54" s="495"/>
      <c r="L54" s="1354" t="s">
        <v>1</v>
      </c>
      <c r="M54" s="493"/>
      <c r="N54" s="494">
        <v>40695</v>
      </c>
      <c r="O54" s="493">
        <f>O53+(P53)</f>
        <v>2014.1900000000005</v>
      </c>
      <c r="P54" s="493">
        <f t="shared" si="7"/>
        <v>2.97</v>
      </c>
      <c r="Q54" s="1352">
        <v>41075</v>
      </c>
      <c r="R54" s="1350">
        <f>AVERAGE(O54:O55)</f>
        <v>2057.2550000000006</v>
      </c>
      <c r="S54" s="558"/>
      <c r="T54" s="493"/>
      <c r="U54" s="493"/>
    </row>
    <row r="55" spans="1:21" s="496" customFormat="1" ht="15" thickBot="1">
      <c r="A55" s="1358"/>
      <c r="B55" s="498" t="s">
        <v>190</v>
      </c>
      <c r="C55" s="499">
        <v>40724</v>
      </c>
      <c r="D55" s="498">
        <f>D54+(29*E54)</f>
        <v>2372.5950000000003</v>
      </c>
      <c r="E55" s="498">
        <f t="shared" si="6"/>
        <v>3.3</v>
      </c>
      <c r="F55" s="1359"/>
      <c r="G55" s="1358"/>
      <c r="H55" s="557"/>
      <c r="I55" s="498"/>
      <c r="J55" s="498"/>
      <c r="K55" s="500"/>
      <c r="L55" s="1360"/>
      <c r="M55" s="498" t="s">
        <v>212</v>
      </c>
      <c r="N55" s="499">
        <v>40724</v>
      </c>
      <c r="O55" s="498">
        <f>O54+(29*P54)</f>
        <v>2100.3200000000006</v>
      </c>
      <c r="P55" s="498">
        <f t="shared" si="7"/>
        <v>2.97</v>
      </c>
      <c r="Q55" s="1359"/>
      <c r="R55" s="1358"/>
      <c r="S55" s="557"/>
      <c r="T55" s="498"/>
      <c r="U55" s="493"/>
    </row>
    <row r="56" spans="1:21" s="496" customFormat="1">
      <c r="A56" s="1356" t="s">
        <v>2</v>
      </c>
      <c r="B56" s="501"/>
      <c r="C56" s="502">
        <v>40725</v>
      </c>
      <c r="D56" s="501">
        <f>D55+(E55)</f>
        <v>2375.8950000000004</v>
      </c>
      <c r="E56" s="501">
        <f t="shared" si="6"/>
        <v>3.3</v>
      </c>
      <c r="F56" s="1357">
        <v>41105</v>
      </c>
      <c r="G56" s="1356">
        <f>AVERAGE(D56:D57)</f>
        <v>2425.3950000000004</v>
      </c>
      <c r="H56" s="559"/>
      <c r="I56" s="501"/>
      <c r="J56" s="501"/>
      <c r="K56" s="503"/>
      <c r="L56" s="1356" t="s">
        <v>2</v>
      </c>
      <c r="M56" s="501"/>
      <c r="N56" s="502">
        <v>40725</v>
      </c>
      <c r="O56" s="501">
        <f>O55+(P55)</f>
        <v>2103.2900000000004</v>
      </c>
      <c r="P56" s="501">
        <f t="shared" si="7"/>
        <v>2.97</v>
      </c>
      <c r="Q56" s="1357">
        <v>41105</v>
      </c>
      <c r="R56" s="1356">
        <f>AVERAGE(O56:O57)</f>
        <v>2147.84</v>
      </c>
      <c r="S56" s="559"/>
      <c r="T56" s="501"/>
      <c r="U56" s="493"/>
    </row>
    <row r="57" spans="1:21" s="496" customFormat="1" ht="15" thickBot="1">
      <c r="A57" s="1351"/>
      <c r="B57" s="493"/>
      <c r="C57" s="494">
        <v>40755</v>
      </c>
      <c r="D57" s="493">
        <f>D56+(30*E56)</f>
        <v>2474.8950000000004</v>
      </c>
      <c r="E57" s="493">
        <f t="shared" si="6"/>
        <v>3.3</v>
      </c>
      <c r="F57" s="1353"/>
      <c r="G57" s="1351"/>
      <c r="H57" s="556"/>
      <c r="I57" s="493"/>
      <c r="J57" s="493"/>
      <c r="K57" s="503"/>
      <c r="L57" s="1358"/>
      <c r="M57" s="498"/>
      <c r="N57" s="499">
        <v>40755</v>
      </c>
      <c r="O57" s="498">
        <f>O56+(30*P56)</f>
        <v>2192.3900000000003</v>
      </c>
      <c r="P57" s="498">
        <f t="shared" si="7"/>
        <v>2.97</v>
      </c>
      <c r="Q57" s="1359"/>
      <c r="R57" s="1358"/>
      <c r="S57" s="559"/>
      <c r="T57" s="493"/>
      <c r="U57" s="493"/>
    </row>
    <row r="58" spans="1:21">
      <c r="B58" s="352"/>
    </row>
    <row r="59" spans="1:21">
      <c r="B59" s="352"/>
    </row>
    <row r="60" spans="1:21">
      <c r="B60" s="352"/>
    </row>
    <row r="61" spans="1:21">
      <c r="B61" s="352"/>
    </row>
    <row r="62" spans="1:21">
      <c r="B62" s="352"/>
    </row>
    <row r="63" spans="1:21">
      <c r="B63" s="352"/>
    </row>
    <row r="64" spans="1:21">
      <c r="B64" s="352"/>
    </row>
    <row r="65" spans="2:2">
      <c r="B65" s="352"/>
    </row>
    <row r="66" spans="2:2">
      <c r="B66" s="352"/>
    </row>
    <row r="67" spans="2:2">
      <c r="B67" s="352"/>
    </row>
    <row r="68" spans="2:2">
      <c r="B68" s="352"/>
    </row>
    <row r="69" spans="2:2">
      <c r="B69" s="352"/>
    </row>
    <row r="70" spans="2:2">
      <c r="B70" s="352"/>
    </row>
    <row r="71" spans="2:2">
      <c r="B71" s="352"/>
    </row>
    <row r="72" spans="2:2">
      <c r="B72" s="352"/>
    </row>
    <row r="73" spans="2:2">
      <c r="B73" s="352"/>
    </row>
  </sheetData>
  <sheetProtection password="A4FF" sheet="1" objects="1" scenarios="1"/>
  <mergeCells count="167">
    <mergeCell ref="A56:A57"/>
    <mergeCell ref="F56:F57"/>
    <mergeCell ref="G56:G57"/>
    <mergeCell ref="L56:L57"/>
    <mergeCell ref="Q56:Q57"/>
    <mergeCell ref="R56:R57"/>
    <mergeCell ref="A54:A55"/>
    <mergeCell ref="F54:F55"/>
    <mergeCell ref="G54:G55"/>
    <mergeCell ref="L54:L55"/>
    <mergeCell ref="Q54:Q55"/>
    <mergeCell ref="R54:R55"/>
    <mergeCell ref="R52:R53"/>
    <mergeCell ref="Q48:Q49"/>
    <mergeCell ref="R48:R49"/>
    <mergeCell ref="A50:A51"/>
    <mergeCell ref="F50:F51"/>
    <mergeCell ref="G50:G51"/>
    <mergeCell ref="L50:L51"/>
    <mergeCell ref="Q50:Q51"/>
    <mergeCell ref="R50:R51"/>
    <mergeCell ref="A48:A49"/>
    <mergeCell ref="F48:F49"/>
    <mergeCell ref="G48:G49"/>
    <mergeCell ref="L48:L49"/>
    <mergeCell ref="A52:A53"/>
    <mergeCell ref="F52:F53"/>
    <mergeCell ref="G52:G53"/>
    <mergeCell ref="L52:L53"/>
    <mergeCell ref="Q52:Q53"/>
    <mergeCell ref="R44:R45"/>
    <mergeCell ref="A46:A47"/>
    <mergeCell ref="F46:F47"/>
    <mergeCell ref="G46:G47"/>
    <mergeCell ref="L46:L47"/>
    <mergeCell ref="Q46:Q47"/>
    <mergeCell ref="R46:R47"/>
    <mergeCell ref="A44:A45"/>
    <mergeCell ref="F44:F45"/>
    <mergeCell ref="G44:G45"/>
    <mergeCell ref="L44:L45"/>
    <mergeCell ref="Q44:Q45"/>
    <mergeCell ref="A42:A43"/>
    <mergeCell ref="F42:F43"/>
    <mergeCell ref="G42:G43"/>
    <mergeCell ref="L42:L43"/>
    <mergeCell ref="Q42:Q43"/>
    <mergeCell ref="R42:R43"/>
    <mergeCell ref="A40:A41"/>
    <mergeCell ref="F40:F41"/>
    <mergeCell ref="G40:G41"/>
    <mergeCell ref="L40:L41"/>
    <mergeCell ref="Q40:Q41"/>
    <mergeCell ref="R40:R41"/>
    <mergeCell ref="A38:A39"/>
    <mergeCell ref="F38:F39"/>
    <mergeCell ref="G38:G39"/>
    <mergeCell ref="L38:L39"/>
    <mergeCell ref="Q38:Q39"/>
    <mergeCell ref="R38:R39"/>
    <mergeCell ref="A36:A37"/>
    <mergeCell ref="F36:F37"/>
    <mergeCell ref="G36:G37"/>
    <mergeCell ref="L36:L37"/>
    <mergeCell ref="Q36:Q37"/>
    <mergeCell ref="R36:R37"/>
    <mergeCell ref="L32:L33"/>
    <mergeCell ref="Q32:Q33"/>
    <mergeCell ref="R32:R33"/>
    <mergeCell ref="K22:K35"/>
    <mergeCell ref="A30:A31"/>
    <mergeCell ref="F30:F31"/>
    <mergeCell ref="G30:G31"/>
    <mergeCell ref="L30:L31"/>
    <mergeCell ref="Q30:Q31"/>
    <mergeCell ref="R30:R31"/>
    <mergeCell ref="A28:A29"/>
    <mergeCell ref="F28:F29"/>
    <mergeCell ref="G28:G29"/>
    <mergeCell ref="L28:L29"/>
    <mergeCell ref="Q28:Q29"/>
    <mergeCell ref="A24:A25"/>
    <mergeCell ref="F24:F25"/>
    <mergeCell ref="G24:G25"/>
    <mergeCell ref="L24:L25"/>
    <mergeCell ref="Q24:Q25"/>
    <mergeCell ref="L20:L21"/>
    <mergeCell ref="Q20:Q21"/>
    <mergeCell ref="R24:R25"/>
    <mergeCell ref="K16:K21"/>
    <mergeCell ref="R16:R17"/>
    <mergeCell ref="A18:A19"/>
    <mergeCell ref="F18:F19"/>
    <mergeCell ref="A34:A35"/>
    <mergeCell ref="F34:F35"/>
    <mergeCell ref="G34:G35"/>
    <mergeCell ref="L34:L35"/>
    <mergeCell ref="Q34:Q35"/>
    <mergeCell ref="A16:A17"/>
    <mergeCell ref="F16:F17"/>
    <mergeCell ref="G16:G17"/>
    <mergeCell ref="L16:L17"/>
    <mergeCell ref="Q16:Q17"/>
    <mergeCell ref="G18:G19"/>
    <mergeCell ref="L18:L19"/>
    <mergeCell ref="Q18:Q19"/>
    <mergeCell ref="R34:R35"/>
    <mergeCell ref="A32:A33"/>
    <mergeCell ref="F32:F33"/>
    <mergeCell ref="G32:G33"/>
    <mergeCell ref="R14:R15"/>
    <mergeCell ref="A12:A13"/>
    <mergeCell ref="F12:F13"/>
    <mergeCell ref="G12:G13"/>
    <mergeCell ref="L12:L13"/>
    <mergeCell ref="Q12:Q13"/>
    <mergeCell ref="R12:R13"/>
    <mergeCell ref="R28:R29"/>
    <mergeCell ref="A26:A27"/>
    <mergeCell ref="F26:F27"/>
    <mergeCell ref="G26:G27"/>
    <mergeCell ref="L26:L27"/>
    <mergeCell ref="Q26:Q27"/>
    <mergeCell ref="R26:R27"/>
    <mergeCell ref="R20:R21"/>
    <mergeCell ref="A22:A23"/>
    <mergeCell ref="F22:F23"/>
    <mergeCell ref="G22:G23"/>
    <mergeCell ref="L22:L23"/>
    <mergeCell ref="Q22:Q23"/>
    <mergeCell ref="R22:R23"/>
    <mergeCell ref="A20:A21"/>
    <mergeCell ref="F20:F21"/>
    <mergeCell ref="G20:G21"/>
    <mergeCell ref="A8:A9"/>
    <mergeCell ref="F8:F9"/>
    <mergeCell ref="G8:G9"/>
    <mergeCell ref="A14:A15"/>
    <mergeCell ref="F14:F15"/>
    <mergeCell ref="G14:G15"/>
    <mergeCell ref="L14:L15"/>
    <mergeCell ref="Q14:Q15"/>
    <mergeCell ref="Q4:Q5"/>
    <mergeCell ref="R18:R19"/>
    <mergeCell ref="A2:A3"/>
    <mergeCell ref="L2:L3"/>
    <mergeCell ref="L8:L9"/>
    <mergeCell ref="Q8:Q9"/>
    <mergeCell ref="R8:R9"/>
    <mergeCell ref="A10:A11"/>
    <mergeCell ref="F10:F11"/>
    <mergeCell ref="G10:G11"/>
    <mergeCell ref="L10:L11"/>
    <mergeCell ref="Q10:Q11"/>
    <mergeCell ref="R10:R11"/>
    <mergeCell ref="R4:R5"/>
    <mergeCell ref="A6:A7"/>
    <mergeCell ref="F6:F7"/>
    <mergeCell ref="G6:G7"/>
    <mergeCell ref="L6:L7"/>
    <mergeCell ref="Q6:Q7"/>
    <mergeCell ref="R6:R7"/>
    <mergeCell ref="K2:K15"/>
    <mergeCell ref="A4:A5"/>
    <mergeCell ref="F4:F5"/>
    <mergeCell ref="G4:G5"/>
    <mergeCell ref="L4:L5"/>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workbookViewId="0">
      <selection activeCell="L6" sqref="L6:O8"/>
    </sheetView>
  </sheetViews>
  <sheetFormatPr baseColWidth="10" defaultColWidth="8.83203125" defaultRowHeight="14" x14ac:dyDescent="0"/>
  <cols>
    <col min="1" max="1" width="18.5" customWidth="1"/>
    <col min="2" max="2" width="10.83203125" customWidth="1"/>
    <col min="4" max="4" width="12.6640625" customWidth="1"/>
    <col min="5" max="7" width="17.83203125" customWidth="1"/>
    <col min="8" max="8" width="15.83203125" customWidth="1"/>
    <col min="9" max="9" width="16.5" customWidth="1"/>
    <col min="10" max="10" width="12.6640625" customWidth="1"/>
    <col min="11" max="11" width="13.1640625" customWidth="1"/>
  </cols>
  <sheetData>
    <row r="1" spans="1:26" ht="18">
      <c r="A1" s="705" t="s">
        <v>278</v>
      </c>
    </row>
    <row r="2" spans="1:26" ht="19" thickBot="1">
      <c r="A2" s="729" t="s">
        <v>277</v>
      </c>
    </row>
    <row r="3" spans="1:26" ht="19" thickBot="1">
      <c r="A3" s="747" t="s">
        <v>1061</v>
      </c>
      <c r="B3" s="299"/>
    </row>
    <row r="4" spans="1:26" ht="18">
      <c r="A4" s="1232"/>
      <c r="B4" s="8"/>
    </row>
    <row r="5" spans="1:26" ht="15" thickBot="1">
      <c r="A5" s="164" t="s">
        <v>1067</v>
      </c>
      <c r="B5" s="164"/>
      <c r="D5" s="164" t="s">
        <v>1068</v>
      </c>
      <c r="F5" s="679" t="s">
        <v>1069</v>
      </c>
      <c r="H5" s="164" t="s">
        <v>1071</v>
      </c>
    </row>
    <row r="6" spans="1:26">
      <c r="A6" s="164">
        <v>0.19800000000000001</v>
      </c>
      <c r="B6" s="164" t="s">
        <v>1065</v>
      </c>
      <c r="D6" s="164">
        <f>A6+A13</f>
        <v>0.46800000000000003</v>
      </c>
      <c r="E6" s="164" t="s">
        <v>1065</v>
      </c>
      <c r="F6" s="1233">
        <v>22518133</v>
      </c>
      <c r="G6" s="1220" t="s">
        <v>1070</v>
      </c>
      <c r="H6" s="734">
        <f>F6*D6</f>
        <v>10538486.244000001</v>
      </c>
      <c r="I6" s="734">
        <f>H6/1000</f>
        <v>10538.486244000002</v>
      </c>
      <c r="J6" s="734">
        <f>CONVERT(H6,"kg","lbm")</f>
        <v>23233385.173564538</v>
      </c>
      <c r="K6" s="734">
        <f>J6/2000</f>
        <v>11616.692586782268</v>
      </c>
      <c r="L6" s="718" t="s">
        <v>650</v>
      </c>
      <c r="M6" s="719"/>
      <c r="N6" s="719"/>
      <c r="O6" s="719"/>
      <c r="P6" s="719"/>
      <c r="Q6" s="719"/>
      <c r="R6" s="719"/>
      <c r="S6" s="719"/>
      <c r="T6" s="719"/>
      <c r="U6" s="719"/>
      <c r="V6" s="719"/>
      <c r="W6" s="719"/>
      <c r="X6" s="719"/>
      <c r="Y6" s="719"/>
      <c r="Z6" s="699"/>
    </row>
    <row r="7" spans="1:26">
      <c r="A7" s="617" t="s">
        <v>1060</v>
      </c>
      <c r="B7" s="350"/>
      <c r="F7" s="679"/>
      <c r="H7" s="562" t="s">
        <v>1059</v>
      </c>
      <c r="I7" s="562" t="s">
        <v>556</v>
      </c>
      <c r="J7" s="562" t="s">
        <v>184</v>
      </c>
      <c r="K7" s="562" t="s">
        <v>353</v>
      </c>
      <c r="L7" s="721"/>
      <c r="M7" s="698"/>
      <c r="N7" s="698"/>
      <c r="O7" s="698"/>
      <c r="P7" s="698"/>
      <c r="Q7" s="698"/>
      <c r="R7" s="698"/>
      <c r="S7" s="698"/>
      <c r="T7" s="698"/>
      <c r="U7" s="698"/>
      <c r="V7" s="698"/>
      <c r="W7" s="698"/>
      <c r="X7" s="698"/>
      <c r="Y7" s="698"/>
      <c r="Z7" s="700"/>
    </row>
    <row r="8" spans="1:26">
      <c r="A8" s="350">
        <v>0.16200000000000001</v>
      </c>
      <c r="B8" s="350" t="s">
        <v>1065</v>
      </c>
      <c r="L8" s="721"/>
      <c r="M8" s="1021"/>
      <c r="N8" s="725"/>
      <c r="O8" s="725"/>
      <c r="P8" s="725"/>
      <c r="Q8" s="725"/>
      <c r="R8" s="725"/>
      <c r="S8" s="725"/>
      <c r="T8" s="725"/>
      <c r="U8" s="725"/>
      <c r="V8" s="725"/>
      <c r="W8" s="725"/>
      <c r="X8" s="725"/>
      <c r="Y8" s="725"/>
      <c r="Z8" s="1231"/>
    </row>
    <row r="9" spans="1:26">
      <c r="A9" s="617" t="s">
        <v>1058</v>
      </c>
      <c r="B9" s="350"/>
      <c r="L9" s="744" t="s">
        <v>1063</v>
      </c>
      <c r="M9" s="1021"/>
      <c r="N9" s="725"/>
      <c r="O9" s="725"/>
      <c r="P9" s="725"/>
      <c r="Q9" s="725"/>
      <c r="R9" s="725"/>
      <c r="S9" s="725"/>
      <c r="T9" s="725"/>
      <c r="U9" s="725"/>
      <c r="V9" s="725"/>
      <c r="W9" s="725"/>
      <c r="X9" s="725"/>
      <c r="Y9" s="725"/>
      <c r="Z9" s="1231"/>
    </row>
    <row r="10" spans="1:26" ht="15" customHeight="1">
      <c r="A10" s="350">
        <v>0.25</v>
      </c>
      <c r="B10" s="350" t="s">
        <v>1065</v>
      </c>
      <c r="L10" s="1163"/>
      <c r="M10" s="1021" t="s">
        <v>1062</v>
      </c>
      <c r="N10" s="725"/>
      <c r="O10" s="725"/>
      <c r="P10" s="725"/>
      <c r="Q10" s="725"/>
      <c r="R10" s="725"/>
      <c r="S10" s="725"/>
      <c r="T10" s="725"/>
      <c r="U10" s="725"/>
      <c r="V10" s="725"/>
      <c r="W10" s="725"/>
      <c r="X10" s="725"/>
      <c r="Y10" s="725"/>
      <c r="Z10" s="1231"/>
    </row>
    <row r="11" spans="1:26">
      <c r="L11" s="1163"/>
      <c r="M11" s="698" t="s">
        <v>1064</v>
      </c>
      <c r="N11" s="725"/>
      <c r="O11" s="725"/>
      <c r="P11" s="725"/>
      <c r="Q11" s="725"/>
      <c r="R11" s="725"/>
      <c r="S11" s="725"/>
      <c r="T11" s="725"/>
      <c r="U11" s="725"/>
      <c r="V11" s="725"/>
      <c r="W11" s="725"/>
      <c r="X11" s="725"/>
      <c r="Y11" s="725"/>
      <c r="Z11" s="1231"/>
    </row>
    <row r="12" spans="1:26" ht="15" customHeight="1">
      <c r="A12" s="164" t="s">
        <v>1066</v>
      </c>
      <c r="L12" s="721"/>
      <c r="M12" s="725"/>
      <c r="N12" s="698"/>
      <c r="O12" s="698"/>
      <c r="P12" s="698"/>
      <c r="Q12" s="698"/>
      <c r="R12" s="698"/>
      <c r="S12" s="698"/>
      <c r="T12" s="698"/>
      <c r="U12" s="698"/>
      <c r="V12" s="698"/>
      <c r="W12" s="698"/>
      <c r="X12" s="698"/>
      <c r="Y12" s="698"/>
      <c r="Z12" s="700"/>
    </row>
    <row r="13" spans="1:26">
      <c r="A13" s="164">
        <v>0.27</v>
      </c>
      <c r="B13" s="164" t="s">
        <v>1065</v>
      </c>
      <c r="L13" s="744"/>
      <c r="M13" s="725"/>
      <c r="N13" s="698"/>
      <c r="O13" s="698"/>
      <c r="P13" s="698"/>
      <c r="Q13" s="698"/>
      <c r="R13" s="698"/>
      <c r="S13" s="698"/>
      <c r="T13" s="698"/>
      <c r="U13" s="698"/>
      <c r="V13" s="698"/>
      <c r="W13" s="698"/>
      <c r="X13" s="698"/>
      <c r="Y13" s="698"/>
      <c r="Z13" s="700"/>
    </row>
    <row r="14" spans="1:26" ht="15" thickBot="1">
      <c r="L14" s="1188"/>
      <c r="M14" s="703"/>
      <c r="N14" s="703"/>
      <c r="O14" s="703"/>
      <c r="P14" s="703"/>
      <c r="Q14" s="703"/>
      <c r="R14" s="703"/>
      <c r="S14" s="703"/>
      <c r="T14" s="703"/>
      <c r="U14" s="703"/>
      <c r="V14" s="703"/>
      <c r="W14" s="703"/>
      <c r="X14" s="703"/>
      <c r="Y14" s="703"/>
      <c r="Z14" s="704"/>
    </row>
  </sheetData>
  <sheetProtection password="A4FF"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6" tint="-0.249977111117893"/>
    <pageSetUpPr fitToPage="1"/>
  </sheetPr>
  <dimension ref="A1:AZ43"/>
  <sheetViews>
    <sheetView workbookViewId="0">
      <selection activeCell="D5" sqref="D5"/>
    </sheetView>
  </sheetViews>
  <sheetFormatPr baseColWidth="10" defaultColWidth="8.83203125" defaultRowHeight="14" x14ac:dyDescent="0"/>
  <cols>
    <col min="1" max="1" width="22.83203125" customWidth="1"/>
    <col min="2" max="2" width="10.1640625" customWidth="1"/>
    <col min="3" max="3" width="9.83203125" customWidth="1"/>
    <col min="4" max="4" width="9.5" customWidth="1"/>
    <col min="5" max="5" width="9" customWidth="1"/>
    <col min="6" max="6" width="10.5" customWidth="1"/>
    <col min="7" max="8" width="9.6640625" customWidth="1"/>
    <col min="9" max="9" width="8.83203125" customWidth="1"/>
    <col min="10" max="10" width="9.5" customWidth="1"/>
    <col min="11" max="12" width="10.1640625" customWidth="1"/>
    <col min="13" max="13" width="10" customWidth="1"/>
    <col min="14" max="14" width="9.83203125" customWidth="1"/>
    <col min="15" max="15" width="10" customWidth="1"/>
    <col min="16" max="16" width="12.1640625" customWidth="1"/>
    <col min="17" max="17" width="11" customWidth="1"/>
    <col min="18" max="18" width="12.1640625" customWidth="1"/>
    <col min="19" max="19" width="10" customWidth="1"/>
    <col min="20" max="20" width="9.5" customWidth="1"/>
    <col min="21" max="21" width="9.1640625" customWidth="1"/>
    <col min="22" max="23" width="10.5" customWidth="1"/>
    <col min="24" max="24" width="9.6640625" customWidth="1"/>
    <col min="25" max="25" width="10.83203125" customWidth="1"/>
    <col min="26" max="26" width="10.6640625" customWidth="1"/>
    <col min="27" max="27" width="11.1640625" customWidth="1"/>
    <col min="28" max="29" width="11.33203125" customWidth="1"/>
    <col min="30" max="30" width="8.83203125" customWidth="1"/>
    <col min="31" max="31" width="10.5" customWidth="1"/>
    <col min="32" max="32" width="9.5" customWidth="1"/>
    <col min="33" max="33" width="10.83203125" customWidth="1"/>
    <col min="34" max="34" width="10.5" customWidth="1"/>
    <col min="35" max="35" width="10.33203125" customWidth="1"/>
    <col min="36" max="37" width="8" bestFit="1" customWidth="1"/>
    <col min="38" max="38" width="9" bestFit="1" customWidth="1"/>
    <col min="39" max="39" width="9.6640625" customWidth="1"/>
    <col min="40" max="49" width="8" bestFit="1" customWidth="1"/>
  </cols>
  <sheetData>
    <row r="1" spans="1:52">
      <c r="A1" s="8"/>
      <c r="B1" s="25">
        <v>1</v>
      </c>
      <c r="C1" s="31">
        <f>B1+1</f>
        <v>2</v>
      </c>
      <c r="D1" s="32">
        <f t="shared" ref="D1:AW1" si="0">C1+1</f>
        <v>3</v>
      </c>
      <c r="E1" s="32">
        <f t="shared" si="0"/>
        <v>4</v>
      </c>
      <c r="F1" s="32">
        <f t="shared" si="0"/>
        <v>5</v>
      </c>
      <c r="G1" s="32">
        <f t="shared" si="0"/>
        <v>6</v>
      </c>
      <c r="H1" s="33">
        <f t="shared" si="0"/>
        <v>7</v>
      </c>
      <c r="I1" s="31">
        <f t="shared" si="0"/>
        <v>8</v>
      </c>
      <c r="J1" s="32">
        <f t="shared" si="0"/>
        <v>9</v>
      </c>
      <c r="K1" s="32">
        <f t="shared" si="0"/>
        <v>10</v>
      </c>
      <c r="L1" s="32">
        <f t="shared" si="0"/>
        <v>11</v>
      </c>
      <c r="M1" s="32">
        <f t="shared" si="0"/>
        <v>12</v>
      </c>
      <c r="N1" s="33">
        <f t="shared" si="0"/>
        <v>13</v>
      </c>
      <c r="O1" s="31">
        <f t="shared" si="0"/>
        <v>14</v>
      </c>
      <c r="P1" s="32">
        <f t="shared" si="0"/>
        <v>15</v>
      </c>
      <c r="Q1" s="32">
        <f t="shared" si="0"/>
        <v>16</v>
      </c>
      <c r="R1" s="32">
        <f t="shared" si="0"/>
        <v>17</v>
      </c>
      <c r="S1" s="32">
        <f t="shared" si="0"/>
        <v>18</v>
      </c>
      <c r="T1" s="33">
        <f t="shared" si="0"/>
        <v>19</v>
      </c>
      <c r="U1" s="31">
        <f t="shared" si="0"/>
        <v>20</v>
      </c>
      <c r="V1" s="32">
        <f t="shared" si="0"/>
        <v>21</v>
      </c>
      <c r="W1" s="32">
        <f t="shared" si="0"/>
        <v>22</v>
      </c>
      <c r="X1" s="32">
        <f t="shared" si="0"/>
        <v>23</v>
      </c>
      <c r="Y1" s="32">
        <f t="shared" si="0"/>
        <v>24</v>
      </c>
      <c r="Z1" s="33">
        <f t="shared" si="0"/>
        <v>25</v>
      </c>
      <c r="AA1" s="31">
        <f t="shared" si="0"/>
        <v>26</v>
      </c>
      <c r="AB1" s="32">
        <f t="shared" si="0"/>
        <v>27</v>
      </c>
      <c r="AC1" s="32">
        <f t="shared" si="0"/>
        <v>28</v>
      </c>
      <c r="AD1" s="32">
        <f t="shared" si="0"/>
        <v>29</v>
      </c>
      <c r="AE1" s="32">
        <f t="shared" si="0"/>
        <v>30</v>
      </c>
      <c r="AF1" s="33">
        <f t="shared" si="0"/>
        <v>31</v>
      </c>
      <c r="AG1" s="31">
        <f t="shared" si="0"/>
        <v>32</v>
      </c>
      <c r="AH1" s="32">
        <f t="shared" si="0"/>
        <v>33</v>
      </c>
      <c r="AI1" s="32">
        <f t="shared" si="0"/>
        <v>34</v>
      </c>
      <c r="AJ1" s="32">
        <f t="shared" si="0"/>
        <v>35</v>
      </c>
      <c r="AK1" s="32">
        <f t="shared" si="0"/>
        <v>36</v>
      </c>
      <c r="AL1" s="33">
        <f t="shared" si="0"/>
        <v>37</v>
      </c>
      <c r="AM1" s="31">
        <f t="shared" si="0"/>
        <v>38</v>
      </c>
      <c r="AN1" s="32">
        <f t="shared" si="0"/>
        <v>39</v>
      </c>
      <c r="AO1" s="32">
        <f t="shared" si="0"/>
        <v>40</v>
      </c>
      <c r="AP1" s="32">
        <f t="shared" si="0"/>
        <v>41</v>
      </c>
      <c r="AQ1" s="32">
        <f t="shared" si="0"/>
        <v>42</v>
      </c>
      <c r="AR1" s="33">
        <f t="shared" si="0"/>
        <v>43</v>
      </c>
      <c r="AS1" s="31">
        <f t="shared" si="0"/>
        <v>44</v>
      </c>
      <c r="AT1" s="32">
        <f t="shared" si="0"/>
        <v>45</v>
      </c>
      <c r="AU1" s="32">
        <f t="shared" si="0"/>
        <v>46</v>
      </c>
      <c r="AV1" s="32">
        <f t="shared" si="0"/>
        <v>47</v>
      </c>
      <c r="AW1" s="33">
        <f t="shared" si="0"/>
        <v>48</v>
      </c>
    </row>
    <row r="2" spans="1:52" s="378" customFormat="1">
      <c r="A2" s="376"/>
      <c r="B2" s="4" t="s">
        <v>13</v>
      </c>
      <c r="C2" s="34" t="s">
        <v>0</v>
      </c>
      <c r="D2" s="377" t="s">
        <v>1</v>
      </c>
      <c r="E2" s="377" t="s">
        <v>2</v>
      </c>
      <c r="F2" s="377" t="s">
        <v>14</v>
      </c>
      <c r="G2" s="377" t="s">
        <v>6</v>
      </c>
      <c r="H2" s="35" t="s">
        <v>7</v>
      </c>
      <c r="I2" s="34" t="s">
        <v>8</v>
      </c>
      <c r="J2" s="377" t="s">
        <v>9</v>
      </c>
      <c r="K2" s="377" t="s">
        <v>10</v>
      </c>
      <c r="L2" s="377" t="s">
        <v>11</v>
      </c>
      <c r="M2" s="377" t="s">
        <v>12</v>
      </c>
      <c r="N2" s="35" t="s">
        <v>13</v>
      </c>
      <c r="O2" s="34" t="s">
        <v>0</v>
      </c>
      <c r="P2" s="377" t="s">
        <v>1</v>
      </c>
      <c r="Q2" s="377" t="s">
        <v>2</v>
      </c>
      <c r="R2" s="377" t="s">
        <v>14</v>
      </c>
      <c r="S2" s="377" t="s">
        <v>6</v>
      </c>
      <c r="T2" s="35" t="s">
        <v>7</v>
      </c>
      <c r="U2" s="34" t="s">
        <v>8</v>
      </c>
      <c r="V2" s="377" t="s">
        <v>9</v>
      </c>
      <c r="W2" s="377" t="s">
        <v>10</v>
      </c>
      <c r="X2" s="377" t="s">
        <v>11</v>
      </c>
      <c r="Y2" s="377" t="s">
        <v>12</v>
      </c>
      <c r="Z2" s="35" t="s">
        <v>13</v>
      </c>
      <c r="AA2" s="34" t="s">
        <v>0</v>
      </c>
      <c r="AB2" s="377" t="s">
        <v>1</v>
      </c>
      <c r="AC2" s="377" t="s">
        <v>2</v>
      </c>
      <c r="AD2" s="377" t="s">
        <v>14</v>
      </c>
      <c r="AE2" s="377" t="s">
        <v>6</v>
      </c>
      <c r="AF2" s="35" t="s">
        <v>7</v>
      </c>
      <c r="AG2" s="34" t="s">
        <v>8</v>
      </c>
      <c r="AH2" s="377" t="s">
        <v>9</v>
      </c>
      <c r="AI2" s="377" t="s">
        <v>10</v>
      </c>
      <c r="AJ2" s="377" t="s">
        <v>11</v>
      </c>
      <c r="AK2" s="377" t="s">
        <v>12</v>
      </c>
      <c r="AL2" s="35" t="s">
        <v>13</v>
      </c>
      <c r="AM2" s="34" t="s">
        <v>0</v>
      </c>
      <c r="AN2" s="377" t="s">
        <v>1</v>
      </c>
      <c r="AO2" s="377" t="s">
        <v>2</v>
      </c>
      <c r="AP2" s="377" t="s">
        <v>14</v>
      </c>
      <c r="AQ2" s="377" t="s">
        <v>6</v>
      </c>
      <c r="AR2" s="35" t="s">
        <v>7</v>
      </c>
      <c r="AS2" s="34" t="s">
        <v>8</v>
      </c>
      <c r="AT2" s="377" t="s">
        <v>9</v>
      </c>
      <c r="AU2" s="377" t="s">
        <v>10</v>
      </c>
      <c r="AV2" s="377" t="s">
        <v>11</v>
      </c>
      <c r="AW2" s="35" t="s">
        <v>12</v>
      </c>
    </row>
    <row r="3" spans="1:52">
      <c r="A3" s="11"/>
      <c r="B3" s="51"/>
      <c r="C3" s="1361" t="s">
        <v>15</v>
      </c>
      <c r="D3" s="1362"/>
      <c r="E3" s="1362"/>
      <c r="F3" s="1362"/>
      <c r="G3" s="1362"/>
      <c r="H3" s="1363"/>
      <c r="I3" s="1364" t="s">
        <v>42</v>
      </c>
      <c r="J3" s="1365"/>
      <c r="K3" s="1365"/>
      <c r="L3" s="1365"/>
      <c r="M3" s="1365"/>
      <c r="N3" s="1366"/>
      <c r="O3" s="1361" t="s">
        <v>15</v>
      </c>
      <c r="P3" s="1362"/>
      <c r="Q3" s="1362"/>
      <c r="R3" s="1362"/>
      <c r="S3" s="1362"/>
      <c r="T3" s="1363"/>
      <c r="U3" s="1364" t="s">
        <v>42</v>
      </c>
      <c r="V3" s="1365"/>
      <c r="W3" s="1365"/>
      <c r="X3" s="1365"/>
      <c r="Y3" s="1365"/>
      <c r="Z3" s="1366"/>
      <c r="AA3" s="1361" t="s">
        <v>15</v>
      </c>
      <c r="AB3" s="1362"/>
      <c r="AC3" s="1362"/>
      <c r="AD3" s="1362"/>
      <c r="AE3" s="1362"/>
      <c r="AF3" s="1363"/>
      <c r="AG3" s="1364" t="s">
        <v>42</v>
      </c>
      <c r="AH3" s="1365"/>
      <c r="AI3" s="1365"/>
      <c r="AJ3" s="1365"/>
      <c r="AK3" s="1365"/>
      <c r="AL3" s="1366"/>
      <c r="AM3" s="1361" t="s">
        <v>15</v>
      </c>
      <c r="AN3" s="1362"/>
      <c r="AO3" s="1362"/>
      <c r="AP3" s="1362"/>
      <c r="AQ3" s="1362"/>
      <c r="AR3" s="1363"/>
      <c r="AS3" s="1364" t="s">
        <v>42</v>
      </c>
      <c r="AT3" s="1365"/>
      <c r="AU3" s="1365"/>
      <c r="AV3" s="1365"/>
      <c r="AW3" s="1366"/>
    </row>
    <row r="4" spans="1:52">
      <c r="A4" s="26" t="s">
        <v>3</v>
      </c>
      <c r="B4" s="43">
        <f>BeefHerd!$B$25</f>
        <v>429396.34801288933</v>
      </c>
      <c r="C4" s="43">
        <f>B4</f>
        <v>429396.34801288933</v>
      </c>
      <c r="D4" s="43">
        <f>C4</f>
        <v>429396.34801288933</v>
      </c>
      <c r="E4" s="9">
        <f>BeefHerd!$B$25</f>
        <v>429396.34801288933</v>
      </c>
      <c r="F4" s="9">
        <f>E4</f>
        <v>429396.34801288933</v>
      </c>
      <c r="G4" s="9">
        <f>E4</f>
        <v>429396.34801288933</v>
      </c>
      <c r="H4" s="44">
        <f>BeefHerd!$B$25</f>
        <v>429396.34801288933</v>
      </c>
      <c r="I4" s="44">
        <f>H4</f>
        <v>429396.34801288933</v>
      </c>
      <c r="J4" s="44">
        <f>I4</f>
        <v>429396.34801288933</v>
      </c>
      <c r="K4" s="10">
        <f>BeefHerd!$B$25</f>
        <v>429396.34801288933</v>
      </c>
      <c r="L4" s="10">
        <f>K4</f>
        <v>429396.34801288933</v>
      </c>
      <c r="M4" s="10">
        <f>L4</f>
        <v>429396.34801288933</v>
      </c>
      <c r="N4" s="43">
        <f>BeefHerd!$B$25</f>
        <v>429396.34801288933</v>
      </c>
      <c r="O4" s="43">
        <f>N4</f>
        <v>429396.34801288933</v>
      </c>
      <c r="P4" s="43">
        <f>O4</f>
        <v>429396.34801288933</v>
      </c>
      <c r="Q4" s="9">
        <f>BeefHerd!$B$25</f>
        <v>429396.34801288933</v>
      </c>
      <c r="R4" s="9">
        <f>Q4</f>
        <v>429396.34801288933</v>
      </c>
      <c r="S4" s="9">
        <f>Q4</f>
        <v>429396.34801288933</v>
      </c>
      <c r="T4" s="44">
        <f>BeefHerd!$B$25</f>
        <v>429396.34801288933</v>
      </c>
      <c r="U4" s="44">
        <f>T4</f>
        <v>429396.34801288933</v>
      </c>
      <c r="V4" s="44">
        <f>U4</f>
        <v>429396.34801288933</v>
      </c>
      <c r="W4" s="10">
        <f>BeefHerd!$B$25</f>
        <v>429396.34801288933</v>
      </c>
      <c r="X4" s="10">
        <f>W4</f>
        <v>429396.34801288933</v>
      </c>
      <c r="Y4" s="10">
        <f>X4</f>
        <v>429396.34801288933</v>
      </c>
      <c r="Z4" s="10">
        <f>Y4</f>
        <v>429396.34801288933</v>
      </c>
      <c r="AA4" s="43">
        <f>BeefHerd!$B$25</f>
        <v>429396.34801288933</v>
      </c>
      <c r="AB4" s="43">
        <f>AA4</f>
        <v>429396.34801288933</v>
      </c>
      <c r="AC4" s="43">
        <f>AB4</f>
        <v>429396.34801288933</v>
      </c>
      <c r="AD4" s="9">
        <f>BeefHerd!$B$25</f>
        <v>429396.34801288933</v>
      </c>
      <c r="AE4" s="9">
        <f>AD4</f>
        <v>429396.34801288933</v>
      </c>
      <c r="AF4" s="9">
        <f>AD4</f>
        <v>429396.34801288933</v>
      </c>
      <c r="AG4" s="44">
        <f>BeefHerd!$B$25</f>
        <v>429396.34801288933</v>
      </c>
      <c r="AH4" s="44">
        <f>AG4</f>
        <v>429396.34801288933</v>
      </c>
      <c r="AI4" s="44">
        <f>AH4</f>
        <v>429396.34801288933</v>
      </c>
      <c r="AJ4" s="10">
        <f>BeefHerd!$B$25</f>
        <v>429396.34801288933</v>
      </c>
      <c r="AK4" s="10">
        <f>AJ4</f>
        <v>429396.34801288933</v>
      </c>
      <c r="AL4" s="10">
        <f>AK4</f>
        <v>429396.34801288933</v>
      </c>
      <c r="AM4" s="43">
        <f>BeefHerd!$B$25</f>
        <v>429396.34801288933</v>
      </c>
      <c r="AN4" s="43">
        <f>AM4</f>
        <v>429396.34801288933</v>
      </c>
      <c r="AO4" s="43">
        <f>AN4</f>
        <v>429396.34801288933</v>
      </c>
      <c r="AP4" s="9">
        <f>BeefHerd!$B$25</f>
        <v>429396.34801288933</v>
      </c>
      <c r="AQ4" s="9">
        <f>AP4</f>
        <v>429396.34801288933</v>
      </c>
      <c r="AR4" s="9">
        <f>AP4</f>
        <v>429396.34801288933</v>
      </c>
      <c r="AS4" s="44">
        <f>BeefHerd!$B$25</f>
        <v>429396.34801288933</v>
      </c>
      <c r="AT4" s="44">
        <f>AS4</f>
        <v>429396.34801288933</v>
      </c>
      <c r="AU4" s="44">
        <f>AT4</f>
        <v>429396.34801288933</v>
      </c>
      <c r="AV4" s="10">
        <f>BeefHerd!$B$25</f>
        <v>429396.34801288933</v>
      </c>
      <c r="AW4" s="10">
        <f>AV4</f>
        <v>429396.34801288933</v>
      </c>
      <c r="AX4" s="10"/>
    </row>
    <row r="5" spans="1:52">
      <c r="A5" s="26" t="s">
        <v>4</v>
      </c>
      <c r="B5" s="3"/>
      <c r="C5" s="45"/>
      <c r="D5" s="1"/>
      <c r="E5" s="2">
        <f>BeefHerd!$B$33</f>
        <v>17891.514500537054</v>
      </c>
      <c r="F5" s="2">
        <f>E5</f>
        <v>17891.514500537054</v>
      </c>
      <c r="G5" s="2">
        <f>F5</f>
        <v>17891.514500537054</v>
      </c>
      <c r="H5" s="36">
        <f>BeefHerd!$B$33</f>
        <v>17891.514500537054</v>
      </c>
      <c r="I5" s="36">
        <f>H5</f>
        <v>17891.514500537054</v>
      </c>
      <c r="J5" s="36">
        <f>H5</f>
        <v>17891.514500537054</v>
      </c>
      <c r="K5" s="36">
        <f>H5</f>
        <v>17891.514500537054</v>
      </c>
      <c r="L5" s="36">
        <f>H5</f>
        <v>17891.514500537054</v>
      </c>
      <c r="M5" s="36">
        <f>H5</f>
        <v>17891.514500537054</v>
      </c>
      <c r="N5" s="36">
        <f>H5</f>
        <v>17891.514500537054</v>
      </c>
      <c r="O5" s="23">
        <f>BeefHerd!$B$33</f>
        <v>17891.514500537054</v>
      </c>
      <c r="P5" s="23">
        <f>O5</f>
        <v>17891.514500537054</v>
      </c>
      <c r="Q5" s="2">
        <f>BeefHerd!$B$33</f>
        <v>17891.514500537054</v>
      </c>
      <c r="R5" s="2">
        <f>Q5</f>
        <v>17891.514500537054</v>
      </c>
      <c r="S5" s="2">
        <f>R5</f>
        <v>17891.514500537054</v>
      </c>
      <c r="T5" s="36">
        <f>BeefHerd!$B$33</f>
        <v>17891.514500537054</v>
      </c>
      <c r="U5" s="36">
        <f>T5</f>
        <v>17891.514500537054</v>
      </c>
      <c r="V5" s="36">
        <f>T5</f>
        <v>17891.514500537054</v>
      </c>
      <c r="W5" s="36">
        <f>T5</f>
        <v>17891.514500537054</v>
      </c>
      <c r="X5" s="36">
        <f>T5</f>
        <v>17891.514500537054</v>
      </c>
      <c r="Y5" s="36">
        <f>T5</f>
        <v>17891.514500537054</v>
      </c>
      <c r="Z5" s="36">
        <f>T5</f>
        <v>17891.514500537054</v>
      </c>
      <c r="AA5" s="23">
        <f>BeefHerd!$B$33</f>
        <v>17891.514500537054</v>
      </c>
      <c r="AB5" s="23">
        <f>AA5</f>
        <v>17891.514500537054</v>
      </c>
      <c r="AC5" s="2">
        <f>BeefHerd!$B$33</f>
        <v>17891.514500537054</v>
      </c>
      <c r="AD5" s="2">
        <f>AC5</f>
        <v>17891.514500537054</v>
      </c>
      <c r="AE5" s="2">
        <f>AD5</f>
        <v>17891.514500537054</v>
      </c>
      <c r="AF5" s="36">
        <f>BeefHerd!$B$33</f>
        <v>17891.514500537054</v>
      </c>
      <c r="AG5" s="36">
        <f>AF5</f>
        <v>17891.514500537054</v>
      </c>
      <c r="AH5" s="36">
        <f>AF5</f>
        <v>17891.514500537054</v>
      </c>
      <c r="AI5" s="36">
        <f>AF5</f>
        <v>17891.514500537054</v>
      </c>
      <c r="AJ5" s="36">
        <f>AF5</f>
        <v>17891.514500537054</v>
      </c>
      <c r="AK5" s="36">
        <f>AF5</f>
        <v>17891.514500537054</v>
      </c>
      <c r="AL5" s="36">
        <f>AF5</f>
        <v>17891.514500537054</v>
      </c>
      <c r="AM5" s="23">
        <f>BeefHerd!$B$33</f>
        <v>17891.514500537054</v>
      </c>
      <c r="AN5" s="23">
        <f>AM5</f>
        <v>17891.514500537054</v>
      </c>
      <c r="AO5" s="2">
        <f>BeefHerd!$B$33</f>
        <v>17891.514500537054</v>
      </c>
      <c r="AP5" s="2">
        <f>AO5</f>
        <v>17891.514500537054</v>
      </c>
      <c r="AQ5" s="2">
        <f>AP5</f>
        <v>17891.514500537054</v>
      </c>
      <c r="AR5" s="36">
        <f>BeefHerd!$B$33</f>
        <v>17891.514500537054</v>
      </c>
      <c r="AS5" s="36">
        <f>AR5</f>
        <v>17891.514500537054</v>
      </c>
      <c r="AT5" s="36">
        <f>AR5</f>
        <v>17891.514500537054</v>
      </c>
      <c r="AU5" s="36">
        <f>AR5</f>
        <v>17891.514500537054</v>
      </c>
      <c r="AV5" s="36">
        <f>AR5</f>
        <v>17891.514500537054</v>
      </c>
      <c r="AW5" s="36">
        <f>AR5</f>
        <v>17891.514500537054</v>
      </c>
      <c r="AX5" s="36"/>
      <c r="AY5" s="23"/>
      <c r="AZ5" s="23"/>
    </row>
    <row r="6" spans="1:52">
      <c r="A6" s="26" t="s">
        <v>26</v>
      </c>
      <c r="B6" s="24">
        <f>BeefHerd!$E$7</f>
        <v>187646</v>
      </c>
      <c r="C6" s="24">
        <f>B6</f>
        <v>187646</v>
      </c>
      <c r="D6" s="24">
        <f>C6</f>
        <v>187646</v>
      </c>
      <c r="E6" s="24">
        <f>BeefHerd!$B$46</f>
        <v>0</v>
      </c>
      <c r="F6" s="24">
        <f>E6</f>
        <v>0</v>
      </c>
      <c r="G6" s="24">
        <f>E6</f>
        <v>0</v>
      </c>
      <c r="H6" s="24">
        <f>E6</f>
        <v>0</v>
      </c>
      <c r="I6" s="37" t="s">
        <v>35</v>
      </c>
      <c r="J6" s="23"/>
      <c r="K6" s="23"/>
      <c r="L6" s="23"/>
      <c r="M6" s="23"/>
      <c r="N6" s="24">
        <f>BeefHerd!$E$7</f>
        <v>187646</v>
      </c>
      <c r="O6" s="24">
        <f>N6</f>
        <v>187646</v>
      </c>
      <c r="P6" s="24">
        <f>O6</f>
        <v>187646</v>
      </c>
      <c r="Q6" s="24">
        <f>BeefHerd!$B$46</f>
        <v>0</v>
      </c>
      <c r="R6" s="24">
        <f>Q6</f>
        <v>0</v>
      </c>
      <c r="S6" s="24">
        <f>Q6</f>
        <v>0</v>
      </c>
      <c r="T6" s="24">
        <f>Q6</f>
        <v>0</v>
      </c>
      <c r="U6" s="37"/>
      <c r="V6" s="23"/>
      <c r="W6" s="23"/>
      <c r="X6" s="23"/>
      <c r="Y6" s="23"/>
      <c r="Z6" s="24">
        <f>BeefHerd!$E$7</f>
        <v>187646</v>
      </c>
      <c r="AA6" s="24">
        <f>Z6</f>
        <v>187646</v>
      </c>
      <c r="AB6" s="24">
        <f>AA6</f>
        <v>187646</v>
      </c>
      <c r="AC6" s="24">
        <f>BeefHerd!$B$46</f>
        <v>0</v>
      </c>
      <c r="AD6" s="24">
        <f>AC6</f>
        <v>0</v>
      </c>
      <c r="AE6" s="24">
        <f>AC6</f>
        <v>0</v>
      </c>
      <c r="AF6" s="24">
        <f>AC6</f>
        <v>0</v>
      </c>
      <c r="AG6" s="37"/>
      <c r="AH6" s="23"/>
      <c r="AI6" s="23"/>
      <c r="AJ6" s="23"/>
      <c r="AK6" s="23"/>
      <c r="AL6" s="24">
        <f>BeefHerd!$E$7</f>
        <v>187646</v>
      </c>
      <c r="AM6" s="24">
        <f>AL6</f>
        <v>187646</v>
      </c>
      <c r="AN6" s="24">
        <f>AM6</f>
        <v>187646</v>
      </c>
      <c r="AO6" s="24">
        <f>BeefHerd!$B$46</f>
        <v>0</v>
      </c>
      <c r="AP6" s="24">
        <f>AO6</f>
        <v>0</v>
      </c>
      <c r="AQ6" s="24">
        <f>AO6</f>
        <v>0</v>
      </c>
      <c r="AR6" s="24">
        <f>AO6</f>
        <v>0</v>
      </c>
      <c r="AS6" s="37"/>
      <c r="AT6" s="23"/>
      <c r="AU6" s="23"/>
      <c r="AV6" s="23"/>
      <c r="AW6" s="38"/>
    </row>
    <row r="7" spans="1:52">
      <c r="A7" s="26" t="s">
        <v>27</v>
      </c>
      <c r="B7" s="46">
        <f>BeefHerd!$F$7</f>
        <v>187646</v>
      </c>
      <c r="C7" s="46">
        <f>B7</f>
        <v>187646</v>
      </c>
      <c r="D7" s="46">
        <f>B7</f>
        <v>187646</v>
      </c>
      <c r="E7" s="46">
        <f>BeefHerd!$B$46</f>
        <v>0</v>
      </c>
      <c r="F7" s="46">
        <f>BeefHerd!$B$46</f>
        <v>0</v>
      </c>
      <c r="G7" s="46">
        <f>BeefHerd!$B$46</f>
        <v>0</v>
      </c>
      <c r="H7" s="46">
        <f>BeefHerd!$B$46</f>
        <v>0</v>
      </c>
      <c r="I7" s="37" t="s">
        <v>35</v>
      </c>
      <c r="J7" s="23"/>
      <c r="K7" s="23"/>
      <c r="L7" s="23"/>
      <c r="M7" s="23"/>
      <c r="N7" s="46">
        <f>BeefHerd!$F$7</f>
        <v>187646</v>
      </c>
      <c r="O7" s="46">
        <f>N7</f>
        <v>187646</v>
      </c>
      <c r="P7" s="46">
        <f>N7</f>
        <v>187646</v>
      </c>
      <c r="Q7" s="46">
        <f>BeefHerd!$B$46</f>
        <v>0</v>
      </c>
      <c r="R7" s="46">
        <f>BeefHerd!$B$46</f>
        <v>0</v>
      </c>
      <c r="S7" s="46">
        <f>BeefHerd!$B$46</f>
        <v>0</v>
      </c>
      <c r="T7" s="46">
        <f>BeefHerd!$B$46</f>
        <v>0</v>
      </c>
      <c r="U7" s="37"/>
      <c r="V7" s="23"/>
      <c r="W7" s="23"/>
      <c r="X7" s="23"/>
      <c r="Y7" s="23"/>
      <c r="Z7" s="46">
        <f>BeefHerd!$F$7</f>
        <v>187646</v>
      </c>
      <c r="AA7" s="46">
        <f>Z7</f>
        <v>187646</v>
      </c>
      <c r="AB7" s="46">
        <f>Z7</f>
        <v>187646</v>
      </c>
      <c r="AC7" s="46">
        <f>BeefHerd!$B$46</f>
        <v>0</v>
      </c>
      <c r="AD7" s="46">
        <f>BeefHerd!$B$46</f>
        <v>0</v>
      </c>
      <c r="AE7" s="46">
        <f>BeefHerd!$B$46</f>
        <v>0</v>
      </c>
      <c r="AF7" s="46">
        <f>BeefHerd!$B$46</f>
        <v>0</v>
      </c>
      <c r="AG7" s="37"/>
      <c r="AH7" s="23"/>
      <c r="AI7" s="23"/>
      <c r="AJ7" s="23"/>
      <c r="AK7" s="23"/>
      <c r="AL7" s="46">
        <f>BeefHerd!$F$7</f>
        <v>187646</v>
      </c>
      <c r="AM7" s="46">
        <f>AL7</f>
        <v>187646</v>
      </c>
      <c r="AN7" s="46">
        <f>AL7</f>
        <v>187646</v>
      </c>
      <c r="AO7" s="46">
        <f>BeefHerd!$B$46</f>
        <v>0</v>
      </c>
      <c r="AP7" s="46">
        <f>BeefHerd!$B$46</f>
        <v>0</v>
      </c>
      <c r="AQ7" s="46">
        <f>BeefHerd!$B$46</f>
        <v>0</v>
      </c>
      <c r="AR7" s="46">
        <f>BeefHerd!$B$46</f>
        <v>0</v>
      </c>
      <c r="AS7" s="37"/>
      <c r="AT7" s="23"/>
      <c r="AU7" s="23"/>
      <c r="AV7" s="23"/>
      <c r="AW7" s="38"/>
    </row>
    <row r="8" spans="1:52">
      <c r="A8" s="26" t="s">
        <v>43</v>
      </c>
      <c r="B8" s="21"/>
      <c r="C8" s="52"/>
      <c r="D8" s="22"/>
      <c r="E8" s="23"/>
      <c r="F8" s="23"/>
      <c r="G8" s="23"/>
      <c r="H8" s="38"/>
      <c r="I8" s="39">
        <f>BeefHerd!B28</f>
        <v>185019.15722448978</v>
      </c>
      <c r="J8" s="28">
        <f>$I8</f>
        <v>185019.15722448978</v>
      </c>
      <c r="K8" s="28">
        <f t="shared" ref="K8:Q8" si="1">$I8</f>
        <v>185019.15722448978</v>
      </c>
      <c r="L8" s="28">
        <f t="shared" si="1"/>
        <v>185019.15722448978</v>
      </c>
      <c r="M8" s="28">
        <f t="shared" si="1"/>
        <v>185019.15722448978</v>
      </c>
      <c r="N8" s="28">
        <f t="shared" si="1"/>
        <v>185019.15722448978</v>
      </c>
      <c r="O8" s="28">
        <f t="shared" si="1"/>
        <v>185019.15722448978</v>
      </c>
      <c r="P8" s="28">
        <f t="shared" si="1"/>
        <v>185019.15722448978</v>
      </c>
      <c r="Q8" s="28">
        <f t="shared" si="1"/>
        <v>185019.15722448978</v>
      </c>
      <c r="R8" s="28"/>
      <c r="S8" s="28"/>
      <c r="T8" s="28"/>
      <c r="U8" s="28"/>
      <c r="V8" s="28"/>
      <c r="W8" s="28"/>
      <c r="X8" s="28"/>
      <c r="Y8" s="28"/>
      <c r="Z8" s="28"/>
      <c r="AA8" s="28"/>
      <c r="AB8" s="28"/>
      <c r="AC8" s="28"/>
      <c r="AD8" s="30"/>
      <c r="AE8" s="30"/>
      <c r="AF8" s="48"/>
      <c r="AG8" s="37"/>
      <c r="AH8" s="23"/>
      <c r="AI8" s="23"/>
      <c r="AJ8" s="23"/>
      <c r="AK8" s="23"/>
      <c r="AL8" s="48"/>
      <c r="AM8" s="47"/>
      <c r="AN8" s="30"/>
      <c r="AO8" s="30"/>
      <c r="AP8" s="30"/>
      <c r="AQ8" s="30"/>
      <c r="AR8" s="48"/>
      <c r="AS8" s="37"/>
      <c r="AT8" s="23"/>
      <c r="AU8" s="23"/>
      <c r="AV8" s="23"/>
      <c r="AW8" s="38"/>
    </row>
    <row r="9" spans="1:52">
      <c r="A9" s="26" t="s">
        <v>44</v>
      </c>
      <c r="B9" s="21"/>
      <c r="C9" s="52"/>
      <c r="D9" s="22"/>
      <c r="E9" s="23"/>
      <c r="F9" s="23"/>
      <c r="G9" s="23"/>
      <c r="H9" s="38"/>
      <c r="I9" s="40">
        <f>BeefHerd!B30</f>
        <v>110304.19267024705</v>
      </c>
      <c r="J9" s="29">
        <f>I$9</f>
        <v>110304.19267024705</v>
      </c>
      <c r="K9" s="29">
        <f t="shared" ref="K9:Q9" si="2">J$9</f>
        <v>110304.19267024705</v>
      </c>
      <c r="L9" s="29">
        <f t="shared" si="2"/>
        <v>110304.19267024705</v>
      </c>
      <c r="M9" s="29">
        <f t="shared" si="2"/>
        <v>110304.19267024705</v>
      </c>
      <c r="N9" s="29">
        <f t="shared" si="2"/>
        <v>110304.19267024705</v>
      </c>
      <c r="O9" s="29">
        <f t="shared" si="2"/>
        <v>110304.19267024705</v>
      </c>
      <c r="P9" s="29">
        <f t="shared" si="2"/>
        <v>110304.19267024705</v>
      </c>
      <c r="Q9" s="29">
        <f t="shared" si="2"/>
        <v>110304.19267024705</v>
      </c>
      <c r="R9" s="29"/>
      <c r="S9" s="29"/>
      <c r="T9" s="29"/>
      <c r="U9" s="29"/>
      <c r="V9" s="29"/>
      <c r="W9" s="29"/>
      <c r="X9" s="29"/>
      <c r="Y9" s="29"/>
      <c r="Z9" s="29"/>
      <c r="AA9" s="29"/>
      <c r="AB9" s="29"/>
      <c r="AC9" s="29"/>
      <c r="AD9" s="30"/>
      <c r="AE9" s="30"/>
      <c r="AF9" s="48"/>
      <c r="AG9" s="37"/>
      <c r="AH9" s="23"/>
      <c r="AI9" s="23"/>
      <c r="AJ9" s="23"/>
      <c r="AK9" s="23"/>
      <c r="AL9" s="48"/>
      <c r="AM9" s="47"/>
      <c r="AN9" s="30"/>
      <c r="AO9" s="30"/>
      <c r="AP9" s="30"/>
      <c r="AQ9" s="30"/>
      <c r="AR9" s="48"/>
      <c r="AS9" s="37"/>
      <c r="AT9" s="23"/>
      <c r="AU9" s="23"/>
      <c r="AV9" s="23"/>
      <c r="AW9" s="38"/>
    </row>
    <row r="10" spans="1:52">
      <c r="A10" s="27" t="s">
        <v>45</v>
      </c>
      <c r="B10" s="21"/>
      <c r="C10" s="52"/>
      <c r="D10" s="22"/>
      <c r="E10" s="23"/>
      <c r="F10" s="23"/>
      <c r="G10" s="23"/>
      <c r="H10" s="38"/>
      <c r="I10" s="47"/>
      <c r="J10" s="30"/>
      <c r="K10" s="30"/>
      <c r="L10" s="30"/>
      <c r="M10" s="30"/>
      <c r="N10" s="48"/>
      <c r="O10" s="47"/>
      <c r="P10" s="30"/>
      <c r="Q10" s="30"/>
      <c r="R10" s="30"/>
      <c r="S10" s="30"/>
      <c r="T10" s="48"/>
      <c r="U10" s="39">
        <f>I$8</f>
        <v>185019.15722448978</v>
      </c>
      <c r="V10" s="39">
        <f t="shared" ref="V10:AO10" si="3">J$8</f>
        <v>185019.15722448978</v>
      </c>
      <c r="W10" s="39">
        <f t="shared" si="3"/>
        <v>185019.15722448978</v>
      </c>
      <c r="X10" s="39">
        <f t="shared" si="3"/>
        <v>185019.15722448978</v>
      </c>
      <c r="Y10" s="39">
        <f t="shared" si="3"/>
        <v>185019.15722448978</v>
      </c>
      <c r="Z10" s="39">
        <f t="shared" si="3"/>
        <v>185019.15722448978</v>
      </c>
      <c r="AA10" s="39">
        <f t="shared" si="3"/>
        <v>185019.15722448978</v>
      </c>
      <c r="AB10" s="39">
        <f t="shared" si="3"/>
        <v>185019.15722448978</v>
      </c>
      <c r="AC10" s="39">
        <f t="shared" si="3"/>
        <v>185019.15722448978</v>
      </c>
      <c r="AD10" s="39">
        <f t="shared" si="3"/>
        <v>0</v>
      </c>
      <c r="AE10" s="39">
        <f t="shared" si="3"/>
        <v>0</v>
      </c>
      <c r="AF10" s="39">
        <f t="shared" si="3"/>
        <v>0</v>
      </c>
      <c r="AG10" s="39">
        <f t="shared" si="3"/>
        <v>0</v>
      </c>
      <c r="AH10" s="39">
        <f t="shared" si="3"/>
        <v>0</v>
      </c>
      <c r="AI10" s="39">
        <f t="shared" si="3"/>
        <v>0</v>
      </c>
      <c r="AJ10" s="39">
        <f t="shared" si="3"/>
        <v>0</v>
      </c>
      <c r="AK10" s="39">
        <f t="shared" si="3"/>
        <v>0</v>
      </c>
      <c r="AL10" s="39">
        <f t="shared" si="3"/>
        <v>0</v>
      </c>
      <c r="AM10" s="39">
        <f t="shared" si="3"/>
        <v>0</v>
      </c>
      <c r="AN10" s="39">
        <f t="shared" si="3"/>
        <v>0</v>
      </c>
      <c r="AO10" s="39">
        <f t="shared" si="3"/>
        <v>0</v>
      </c>
      <c r="AP10" s="30"/>
      <c r="AQ10" s="30"/>
      <c r="AR10" s="48"/>
      <c r="AS10" s="47"/>
      <c r="AT10" s="30"/>
      <c r="AU10" s="30"/>
      <c r="AV10" s="30"/>
      <c r="AW10" s="48"/>
    </row>
    <row r="11" spans="1:52">
      <c r="A11" s="27" t="s">
        <v>46</v>
      </c>
      <c r="B11" s="21"/>
      <c r="C11" s="52"/>
      <c r="D11" s="22"/>
      <c r="E11" s="23"/>
      <c r="F11" s="23"/>
      <c r="G11" s="23"/>
      <c r="H11" s="38"/>
      <c r="I11" s="47"/>
      <c r="J11" s="30"/>
      <c r="K11" s="30"/>
      <c r="L11" s="30"/>
      <c r="M11" s="30"/>
      <c r="N11" s="48"/>
      <c r="O11" s="47"/>
      <c r="P11" s="30"/>
      <c r="Q11" s="30"/>
      <c r="R11" s="30"/>
      <c r="S11" s="30"/>
      <c r="T11" s="48"/>
      <c r="U11" s="40">
        <f>I$9</f>
        <v>110304.19267024705</v>
      </c>
      <c r="V11" s="40">
        <f t="shared" ref="V11:AO11" si="4">J$9</f>
        <v>110304.19267024705</v>
      </c>
      <c r="W11" s="40">
        <f t="shared" si="4"/>
        <v>110304.19267024705</v>
      </c>
      <c r="X11" s="40">
        <f t="shared" si="4"/>
        <v>110304.19267024705</v>
      </c>
      <c r="Y11" s="40">
        <f t="shared" si="4"/>
        <v>110304.19267024705</v>
      </c>
      <c r="Z11" s="40">
        <f t="shared" si="4"/>
        <v>110304.19267024705</v>
      </c>
      <c r="AA11" s="40">
        <f t="shared" si="4"/>
        <v>110304.19267024705</v>
      </c>
      <c r="AB11" s="40">
        <f t="shared" si="4"/>
        <v>110304.19267024705</v>
      </c>
      <c r="AC11" s="40">
        <f t="shared" si="4"/>
        <v>110304.19267024705</v>
      </c>
      <c r="AD11" s="40">
        <f t="shared" si="4"/>
        <v>0</v>
      </c>
      <c r="AE11" s="40">
        <f t="shared" si="4"/>
        <v>0</v>
      </c>
      <c r="AF11" s="40">
        <f t="shared" si="4"/>
        <v>0</v>
      </c>
      <c r="AG11" s="40">
        <f t="shared" si="4"/>
        <v>0</v>
      </c>
      <c r="AH11" s="40">
        <f t="shared" si="4"/>
        <v>0</v>
      </c>
      <c r="AI11" s="40">
        <f t="shared" si="4"/>
        <v>0</v>
      </c>
      <c r="AJ11" s="40">
        <f t="shared" si="4"/>
        <v>0</v>
      </c>
      <c r="AK11" s="40">
        <f t="shared" si="4"/>
        <v>0</v>
      </c>
      <c r="AL11" s="40">
        <f t="shared" si="4"/>
        <v>0</v>
      </c>
      <c r="AM11" s="40">
        <f t="shared" si="4"/>
        <v>0</v>
      </c>
      <c r="AN11" s="40">
        <f t="shared" si="4"/>
        <v>0</v>
      </c>
      <c r="AO11" s="40">
        <f t="shared" si="4"/>
        <v>0</v>
      </c>
      <c r="AP11" s="30"/>
      <c r="AQ11" s="30"/>
      <c r="AR11" s="48"/>
      <c r="AS11" s="47"/>
      <c r="AT11" s="30"/>
      <c r="AU11" s="30"/>
      <c r="AV11" s="30"/>
      <c r="AW11" s="48"/>
    </row>
    <row r="12" spans="1:52">
      <c r="A12" s="27" t="s">
        <v>47</v>
      </c>
      <c r="B12" s="21"/>
      <c r="C12" s="52"/>
      <c r="D12" s="22"/>
      <c r="E12" s="23"/>
      <c r="F12" s="23"/>
      <c r="G12" s="23"/>
      <c r="H12" s="38"/>
      <c r="I12" s="47"/>
      <c r="J12" s="30"/>
      <c r="K12" s="30"/>
      <c r="L12" s="30"/>
      <c r="M12" s="30"/>
      <c r="N12" s="48"/>
      <c r="O12" s="47"/>
      <c r="P12" s="30"/>
      <c r="Q12" s="30"/>
      <c r="R12" s="30"/>
      <c r="S12" s="30"/>
      <c r="T12" s="48"/>
      <c r="U12" s="47"/>
      <c r="V12" s="30"/>
      <c r="W12" s="30"/>
      <c r="X12" s="30"/>
      <c r="Y12" s="30"/>
      <c r="Z12" s="48"/>
      <c r="AA12" s="47"/>
      <c r="AB12" s="30"/>
      <c r="AC12" s="30"/>
      <c r="AD12" s="30"/>
      <c r="AE12" s="30"/>
      <c r="AF12" s="48"/>
      <c r="AG12" s="39">
        <f>I$8</f>
        <v>185019.15722448978</v>
      </c>
      <c r="AH12" s="39">
        <f t="shared" ref="AH12:AW12" si="5">J$8</f>
        <v>185019.15722448978</v>
      </c>
      <c r="AI12" s="39">
        <f t="shared" si="5"/>
        <v>185019.15722448978</v>
      </c>
      <c r="AJ12" s="39">
        <f t="shared" si="5"/>
        <v>185019.15722448978</v>
      </c>
      <c r="AK12" s="39">
        <f t="shared" si="5"/>
        <v>185019.15722448978</v>
      </c>
      <c r="AL12" s="39">
        <f t="shared" si="5"/>
        <v>185019.15722448978</v>
      </c>
      <c r="AM12" s="39">
        <f t="shared" si="5"/>
        <v>185019.15722448978</v>
      </c>
      <c r="AN12" s="39">
        <f t="shared" si="5"/>
        <v>185019.15722448978</v>
      </c>
      <c r="AO12" s="39">
        <f t="shared" si="5"/>
        <v>185019.15722448978</v>
      </c>
      <c r="AP12" s="39">
        <f t="shared" si="5"/>
        <v>0</v>
      </c>
      <c r="AQ12" s="39">
        <f t="shared" si="5"/>
        <v>0</v>
      </c>
      <c r="AR12" s="39">
        <f t="shared" si="5"/>
        <v>0</v>
      </c>
      <c r="AS12" s="39">
        <f t="shared" si="5"/>
        <v>0</v>
      </c>
      <c r="AT12" s="39">
        <f t="shared" si="5"/>
        <v>0</v>
      </c>
      <c r="AU12" s="39">
        <f t="shared" si="5"/>
        <v>0</v>
      </c>
      <c r="AV12" s="39">
        <f t="shared" si="5"/>
        <v>0</v>
      </c>
      <c r="AW12" s="39">
        <f t="shared" si="5"/>
        <v>0</v>
      </c>
    </row>
    <row r="13" spans="1:52">
      <c r="A13" s="27" t="s">
        <v>48</v>
      </c>
      <c r="B13" s="21"/>
      <c r="C13" s="52"/>
      <c r="D13" s="22"/>
      <c r="E13" s="23"/>
      <c r="F13" s="23"/>
      <c r="G13" s="23"/>
      <c r="H13" s="38"/>
      <c r="I13" s="47"/>
      <c r="J13" s="30"/>
      <c r="K13" s="30"/>
      <c r="L13" s="30"/>
      <c r="M13" s="30"/>
      <c r="N13" s="48"/>
      <c r="O13" s="47"/>
      <c r="P13" s="30"/>
      <c r="Q13" s="30"/>
      <c r="R13" s="30"/>
      <c r="S13" s="30"/>
      <c r="T13" s="48"/>
      <c r="U13" s="47"/>
      <c r="V13" s="30"/>
      <c r="W13" s="30"/>
      <c r="X13" s="30"/>
      <c r="Y13" s="30"/>
      <c r="Z13" s="48"/>
      <c r="AA13" s="47"/>
      <c r="AB13" s="30"/>
      <c r="AC13" s="30"/>
      <c r="AD13" s="30"/>
      <c r="AE13" s="30"/>
      <c r="AF13" s="48"/>
      <c r="AG13" s="40">
        <f>I$9</f>
        <v>110304.19267024705</v>
      </c>
      <c r="AH13" s="40">
        <f t="shared" ref="AH13:AW13" si="6">J$9</f>
        <v>110304.19267024705</v>
      </c>
      <c r="AI13" s="40">
        <f t="shared" si="6"/>
        <v>110304.19267024705</v>
      </c>
      <c r="AJ13" s="40">
        <f t="shared" si="6"/>
        <v>110304.19267024705</v>
      </c>
      <c r="AK13" s="40">
        <f t="shared" si="6"/>
        <v>110304.19267024705</v>
      </c>
      <c r="AL13" s="40">
        <f t="shared" si="6"/>
        <v>110304.19267024705</v>
      </c>
      <c r="AM13" s="40">
        <f t="shared" si="6"/>
        <v>110304.19267024705</v>
      </c>
      <c r="AN13" s="40">
        <f t="shared" si="6"/>
        <v>110304.19267024705</v>
      </c>
      <c r="AO13" s="40">
        <f t="shared" si="6"/>
        <v>110304.19267024705</v>
      </c>
      <c r="AP13" s="40">
        <f t="shared" si="6"/>
        <v>0</v>
      </c>
      <c r="AQ13" s="40">
        <f t="shared" si="6"/>
        <v>0</v>
      </c>
      <c r="AR13" s="40">
        <f t="shared" si="6"/>
        <v>0</v>
      </c>
      <c r="AS13" s="40">
        <f t="shared" si="6"/>
        <v>0</v>
      </c>
      <c r="AT13" s="40">
        <f t="shared" si="6"/>
        <v>0</v>
      </c>
      <c r="AU13" s="40">
        <f t="shared" si="6"/>
        <v>0</v>
      </c>
      <c r="AV13" s="40">
        <f t="shared" si="6"/>
        <v>0</v>
      </c>
      <c r="AW13" s="40">
        <f t="shared" si="6"/>
        <v>0</v>
      </c>
    </row>
    <row r="14" spans="1:52" ht="15" thickBot="1">
      <c r="A14" s="26" t="s">
        <v>5</v>
      </c>
      <c r="B14" s="21"/>
      <c r="C14" s="53"/>
      <c r="D14" s="54"/>
      <c r="E14" s="49"/>
      <c r="F14" s="49"/>
      <c r="G14" s="49"/>
      <c r="H14" s="50"/>
      <c r="I14" s="41">
        <f>BeefHerd!B32</f>
        <v>74714.964554242732</v>
      </c>
      <c r="J14" s="42">
        <f>I$14</f>
        <v>74714.964554242732</v>
      </c>
      <c r="K14" s="42">
        <f t="shared" ref="K14:Q14" si="7">J$14</f>
        <v>74714.964554242732</v>
      </c>
      <c r="L14" s="42">
        <f t="shared" si="7"/>
        <v>74714.964554242732</v>
      </c>
      <c r="M14" s="42">
        <f t="shared" si="7"/>
        <v>74714.964554242732</v>
      </c>
      <c r="N14" s="42">
        <f t="shared" si="7"/>
        <v>74714.964554242732</v>
      </c>
      <c r="O14" s="42">
        <f t="shared" si="7"/>
        <v>74714.964554242732</v>
      </c>
      <c r="P14" s="42">
        <f t="shared" si="7"/>
        <v>74714.964554242732</v>
      </c>
      <c r="Q14" s="42">
        <f t="shared" si="7"/>
        <v>74714.964554242732</v>
      </c>
      <c r="R14" s="49"/>
      <c r="S14" s="49"/>
      <c r="T14" s="50"/>
      <c r="U14" s="41">
        <f>I$14</f>
        <v>74714.964554242732</v>
      </c>
      <c r="V14" s="41">
        <f t="shared" ref="V14:AC14" si="8">J$14</f>
        <v>74714.964554242732</v>
      </c>
      <c r="W14" s="41">
        <f t="shared" si="8"/>
        <v>74714.964554242732</v>
      </c>
      <c r="X14" s="41">
        <f t="shared" si="8"/>
        <v>74714.964554242732</v>
      </c>
      <c r="Y14" s="41">
        <f t="shared" si="8"/>
        <v>74714.964554242732</v>
      </c>
      <c r="Z14" s="41">
        <f t="shared" si="8"/>
        <v>74714.964554242732</v>
      </c>
      <c r="AA14" s="41">
        <f t="shared" si="8"/>
        <v>74714.964554242732</v>
      </c>
      <c r="AB14" s="41">
        <f t="shared" si="8"/>
        <v>74714.964554242732</v>
      </c>
      <c r="AC14" s="41">
        <f t="shared" si="8"/>
        <v>74714.964554242732</v>
      </c>
      <c r="AD14" s="49"/>
      <c r="AE14" s="49"/>
      <c r="AF14" s="50"/>
      <c r="AG14" s="41">
        <f>I$14</f>
        <v>74714.964554242732</v>
      </c>
      <c r="AH14" s="41">
        <f t="shared" ref="AH14:AO14" si="9">J$14</f>
        <v>74714.964554242732</v>
      </c>
      <c r="AI14" s="41">
        <f t="shared" si="9"/>
        <v>74714.964554242732</v>
      </c>
      <c r="AJ14" s="41">
        <f t="shared" si="9"/>
        <v>74714.964554242732</v>
      </c>
      <c r="AK14" s="41">
        <f t="shared" si="9"/>
        <v>74714.964554242732</v>
      </c>
      <c r="AL14" s="41">
        <f t="shared" si="9"/>
        <v>74714.964554242732</v>
      </c>
      <c r="AM14" s="41">
        <f t="shared" si="9"/>
        <v>74714.964554242732</v>
      </c>
      <c r="AN14" s="41">
        <f t="shared" si="9"/>
        <v>74714.964554242732</v>
      </c>
      <c r="AO14" s="41">
        <f t="shared" si="9"/>
        <v>74714.964554242732</v>
      </c>
      <c r="AP14" s="49"/>
      <c r="AQ14" s="49"/>
      <c r="AR14" s="50"/>
      <c r="AS14" s="41">
        <f>I$14</f>
        <v>74714.964554242732</v>
      </c>
      <c r="AT14" s="41">
        <f>J$14</f>
        <v>74714.964554242732</v>
      </c>
      <c r="AU14" s="41">
        <f>K$14</f>
        <v>74714.964554242732</v>
      </c>
      <c r="AV14" s="41">
        <f>L$14</f>
        <v>74714.964554242732</v>
      </c>
      <c r="AW14" s="41">
        <f>M$14</f>
        <v>74714.964554242732</v>
      </c>
    </row>
    <row r="18" spans="1:2">
      <c r="A18" s="57" t="s">
        <v>154</v>
      </c>
    </row>
    <row r="19" spans="1:2">
      <c r="A19" s="169" t="s">
        <v>72</v>
      </c>
    </row>
    <row r="20" spans="1:2">
      <c r="A20" s="170" t="s">
        <v>74</v>
      </c>
    </row>
    <row r="21" spans="1:2">
      <c r="A21" s="165" t="s">
        <v>75</v>
      </c>
    </row>
    <row r="22" spans="1:2">
      <c r="A22" s="166" t="s">
        <v>73</v>
      </c>
    </row>
    <row r="23" spans="1:2">
      <c r="A23" s="57" t="s">
        <v>155</v>
      </c>
    </row>
    <row r="24" spans="1:2">
      <c r="A24" s="171" t="s">
        <v>16</v>
      </c>
    </row>
    <row r="25" spans="1:2">
      <c r="A25" s="167" t="s">
        <v>76</v>
      </c>
    </row>
    <row r="26" spans="1:2">
      <c r="A26" s="57" t="s">
        <v>158</v>
      </c>
    </row>
    <row r="27" spans="1:2">
      <c r="A27" s="55" t="s">
        <v>156</v>
      </c>
    </row>
    <row r="28" spans="1:2">
      <c r="A28" s="56" t="s">
        <v>157</v>
      </c>
    </row>
    <row r="29" spans="1:2">
      <c r="A29" s="57" t="s">
        <v>161</v>
      </c>
    </row>
    <row r="30" spans="1:2">
      <c r="A30" s="172" t="s">
        <v>159</v>
      </c>
    </row>
    <row r="31" spans="1:2">
      <c r="A31" s="169" t="s">
        <v>160</v>
      </c>
      <c r="B31" s="63"/>
    </row>
    <row r="32" spans="1:2">
      <c r="A32" s="164" t="s">
        <v>5</v>
      </c>
      <c r="B32" s="63"/>
    </row>
    <row r="33" spans="1:2">
      <c r="A33" s="168" t="s">
        <v>77</v>
      </c>
      <c r="B33" s="63"/>
    </row>
    <row r="34" spans="1:2">
      <c r="A34" s="57"/>
      <c r="B34" s="63"/>
    </row>
    <row r="35" spans="1:2">
      <c r="B35" s="63"/>
    </row>
    <row r="36" spans="1:2">
      <c r="B36" s="63"/>
    </row>
    <row r="37" spans="1:2">
      <c r="B37" s="63"/>
    </row>
    <row r="38" spans="1:2">
      <c r="B38" s="63"/>
    </row>
    <row r="39" spans="1:2">
      <c r="B39" s="63"/>
    </row>
    <row r="40" spans="1:2">
      <c r="B40" s="63"/>
    </row>
    <row r="41" spans="1:2">
      <c r="B41" s="63"/>
    </row>
    <row r="42" spans="1:2">
      <c r="B42" s="63"/>
    </row>
    <row r="43" spans="1:2">
      <c r="B43" s="63"/>
    </row>
  </sheetData>
  <mergeCells count="8">
    <mergeCell ref="AM3:AR3"/>
    <mergeCell ref="AS3:AW3"/>
    <mergeCell ref="C3:H3"/>
    <mergeCell ref="I3:N3"/>
    <mergeCell ref="O3:T3"/>
    <mergeCell ref="U3:Z3"/>
    <mergeCell ref="AA3:AF3"/>
    <mergeCell ref="AG3:AL3"/>
  </mergeCells>
  <pageMargins left="0.7" right="0.7" top="0.75" bottom="0.75" header="0.3" footer="0.3"/>
  <pageSetup scale="23" orientation="landscape"/>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enableFormatConditionsCalculation="0">
    <tabColor theme="6" tint="-0.249977111117893"/>
  </sheetPr>
  <dimension ref="A1:X215"/>
  <sheetViews>
    <sheetView zoomScale="80" zoomScaleNormal="80" zoomScalePageLayoutView="80" workbookViewId="0">
      <selection activeCell="A4" sqref="A4"/>
    </sheetView>
  </sheetViews>
  <sheetFormatPr baseColWidth="10" defaultColWidth="8.83203125" defaultRowHeight="14" x14ac:dyDescent="0"/>
  <cols>
    <col min="1" max="1" width="24" customWidth="1"/>
    <col min="2" max="2" width="10.5" style="63" bestFit="1" customWidth="1"/>
    <col min="3" max="3" width="8.33203125" style="176" customWidth="1"/>
    <col min="4" max="4" width="10.1640625" bestFit="1" customWidth="1"/>
    <col min="5" max="5" width="9.6640625" bestFit="1" customWidth="1"/>
    <col min="6" max="7" width="8.5" bestFit="1" customWidth="1"/>
    <col min="8" max="8" width="8.5" customWidth="1"/>
    <col min="9" max="12" width="8.5" bestFit="1" customWidth="1"/>
    <col min="13" max="13" width="12" bestFit="1" customWidth="1"/>
    <col min="14" max="14" width="18.83203125" customWidth="1"/>
    <col min="15" max="15" width="13.6640625" customWidth="1"/>
    <col min="17" max="18" width="10.1640625" bestFit="1" customWidth="1"/>
    <col min="19" max="19" width="13.33203125" customWidth="1"/>
    <col min="20" max="20" width="9.6640625" bestFit="1" customWidth="1"/>
    <col min="21" max="21" width="12" customWidth="1"/>
    <col min="23" max="23" width="13.83203125" customWidth="1"/>
  </cols>
  <sheetData>
    <row r="1" spans="1:16">
      <c r="B1" s="61"/>
      <c r="C1" s="173"/>
      <c r="D1" s="32"/>
      <c r="E1" s="32"/>
      <c r="F1" s="32"/>
      <c r="G1" s="33"/>
      <c r="H1" s="31"/>
      <c r="I1" s="32"/>
      <c r="J1" s="32"/>
      <c r="K1" s="32"/>
      <c r="L1" s="32"/>
      <c r="M1" s="33"/>
      <c r="N1" s="31"/>
      <c r="O1" s="32"/>
    </row>
    <row r="2" spans="1:16" s="382" customFormat="1">
      <c r="B2" s="62" t="s">
        <v>35</v>
      </c>
      <c r="C2" s="174"/>
      <c r="D2" s="380" t="s">
        <v>10</v>
      </c>
      <c r="E2" s="380" t="s">
        <v>11</v>
      </c>
      <c r="F2" s="380" t="s">
        <v>12</v>
      </c>
      <c r="G2" s="35" t="s">
        <v>13</v>
      </c>
      <c r="H2" s="34" t="s">
        <v>0</v>
      </c>
      <c r="I2" s="380" t="s">
        <v>1</v>
      </c>
      <c r="J2" s="380" t="s">
        <v>2</v>
      </c>
      <c r="K2" s="380" t="s">
        <v>14</v>
      </c>
      <c r="L2" s="380" t="s">
        <v>6</v>
      </c>
      <c r="M2" s="35" t="s">
        <v>7</v>
      </c>
      <c r="N2" s="34" t="s">
        <v>8</v>
      </c>
      <c r="O2" s="380" t="s">
        <v>9</v>
      </c>
    </row>
    <row r="3" spans="1:16" ht="15" thickBot="1">
      <c r="A3" s="164"/>
      <c r="B3" s="64"/>
      <c r="C3" s="175"/>
      <c r="D3" s="1401" t="s">
        <v>61</v>
      </c>
      <c r="E3" s="1401"/>
      <c r="F3" s="1401"/>
      <c r="G3" s="1402"/>
      <c r="H3" s="1403" t="s">
        <v>15</v>
      </c>
      <c r="I3" s="1404"/>
      <c r="J3" s="1404"/>
      <c r="K3" s="1404"/>
      <c r="L3" s="1404"/>
      <c r="M3" s="1405"/>
      <c r="N3" s="1406" t="s">
        <v>42</v>
      </c>
      <c r="O3" s="1401"/>
    </row>
    <row r="4" spans="1:16" ht="17" thickBot="1">
      <c r="A4" s="291" t="s">
        <v>109</v>
      </c>
      <c r="B4" s="292" t="s">
        <v>141</v>
      </c>
      <c r="C4" s="209"/>
      <c r="D4" s="349" t="s">
        <v>201</v>
      </c>
      <c r="E4" s="256"/>
      <c r="F4" s="256"/>
      <c r="G4" s="256"/>
      <c r="H4" s="257"/>
      <c r="I4" s="257"/>
      <c r="J4" s="257"/>
      <c r="K4" s="257"/>
      <c r="L4" s="257"/>
      <c r="M4" s="257"/>
      <c r="N4" s="256"/>
      <c r="O4" s="256"/>
    </row>
    <row r="5" spans="1:16">
      <c r="A5" s="1367" t="s">
        <v>3</v>
      </c>
      <c r="B5" s="67" t="s">
        <v>53</v>
      </c>
      <c r="C5" s="178"/>
      <c r="D5" s="95">
        <f>O5+30.4</f>
        <v>192.00000000000003</v>
      </c>
      <c r="E5" s="95">
        <f>D5+30.4</f>
        <v>222.40000000000003</v>
      </c>
      <c r="F5" s="95">
        <f>E5+30.4</f>
        <v>252.80000000000004</v>
      </c>
      <c r="G5" s="95">
        <v>275</v>
      </c>
      <c r="H5" s="76">
        <v>0</v>
      </c>
      <c r="I5" s="157">
        <v>0</v>
      </c>
      <c r="J5" s="157">
        <v>12.5</v>
      </c>
      <c r="K5" s="157">
        <v>40</v>
      </c>
      <c r="L5" s="157">
        <f>K5+30.4</f>
        <v>70.400000000000006</v>
      </c>
      <c r="M5" s="157">
        <f>L5+30.4</f>
        <v>100.80000000000001</v>
      </c>
      <c r="N5" s="137">
        <f>M5+30.4</f>
        <v>131.20000000000002</v>
      </c>
      <c r="O5" s="138">
        <f>N5+30.4</f>
        <v>161.60000000000002</v>
      </c>
      <c r="P5" t="s">
        <v>210</v>
      </c>
    </row>
    <row r="6" spans="1:16">
      <c r="A6" s="1368"/>
      <c r="B6" s="379" t="s">
        <v>54</v>
      </c>
      <c r="C6" s="179"/>
      <c r="D6" s="351">
        <f>AVERAGE('Conv Weight Gained'!D2,'Conv Weight Gained'!O2)</f>
        <v>93.35</v>
      </c>
      <c r="E6" s="97">
        <f t="shared" ref="E6:G11" si="0">$D6</f>
        <v>93.35</v>
      </c>
      <c r="F6" s="97">
        <f t="shared" si="0"/>
        <v>93.35</v>
      </c>
      <c r="G6" s="97">
        <f t="shared" si="0"/>
        <v>93.35</v>
      </c>
      <c r="H6" s="77">
        <v>0</v>
      </c>
      <c r="I6" s="77">
        <v>0</v>
      </c>
      <c r="J6" s="77">
        <v>80</v>
      </c>
      <c r="K6" s="77">
        <f>$D$6</f>
        <v>93.35</v>
      </c>
      <c r="L6" s="77">
        <f>$D$6</f>
        <v>93.35</v>
      </c>
      <c r="M6" s="77">
        <f>$D$6</f>
        <v>93.35</v>
      </c>
      <c r="N6" s="97">
        <f>$D$6</f>
        <v>93.35</v>
      </c>
      <c r="O6" s="97">
        <f>$D$6</f>
        <v>93.35</v>
      </c>
    </row>
    <row r="7" spans="1:16">
      <c r="A7" s="1368"/>
      <c r="B7" s="65" t="s">
        <v>55</v>
      </c>
      <c r="C7" s="179"/>
      <c r="D7" s="160">
        <f>D6/2.205</f>
        <v>42.335600907029473</v>
      </c>
      <c r="E7" s="161">
        <f t="shared" si="0"/>
        <v>42.335600907029473</v>
      </c>
      <c r="F7" s="161">
        <f t="shared" si="0"/>
        <v>42.335600907029473</v>
      </c>
      <c r="G7" s="161">
        <f>$D7</f>
        <v>42.335600907029473</v>
      </c>
      <c r="H7" s="162">
        <v>0</v>
      </c>
      <c r="I7" s="162">
        <v>0</v>
      </c>
      <c r="J7" s="162">
        <f t="shared" ref="J7:O7" si="1">J6/2.205</f>
        <v>36.281179138321995</v>
      </c>
      <c r="K7" s="162">
        <f t="shared" si="1"/>
        <v>42.335600907029473</v>
      </c>
      <c r="L7" s="162">
        <f t="shared" si="1"/>
        <v>42.335600907029473</v>
      </c>
      <c r="M7" s="162">
        <f t="shared" si="1"/>
        <v>42.335600907029473</v>
      </c>
      <c r="N7" s="161">
        <f t="shared" si="1"/>
        <v>42.335600907029473</v>
      </c>
      <c r="O7" s="163">
        <f t="shared" si="1"/>
        <v>42.335600907029473</v>
      </c>
    </row>
    <row r="8" spans="1:16">
      <c r="A8" s="1368"/>
      <c r="B8" s="65" t="s">
        <v>56</v>
      </c>
      <c r="C8" s="179" t="s">
        <v>121</v>
      </c>
      <c r="D8" s="96">
        <v>0</v>
      </c>
      <c r="E8" s="97">
        <f t="shared" si="0"/>
        <v>0</v>
      </c>
      <c r="F8" s="97">
        <f t="shared" si="0"/>
        <v>0</v>
      </c>
      <c r="G8" s="97">
        <v>5.5526730000000004</v>
      </c>
      <c r="H8" s="77">
        <v>15.31104</v>
      </c>
      <c r="I8" s="77">
        <v>18.647670000000002</v>
      </c>
      <c r="J8" s="77">
        <v>17.033570000000001</v>
      </c>
      <c r="K8" s="77">
        <v>13.83039</v>
      </c>
      <c r="L8" s="77">
        <v>10.52772</v>
      </c>
      <c r="M8" s="77">
        <v>7.6931729999999998</v>
      </c>
      <c r="N8" s="97">
        <v>0</v>
      </c>
      <c r="O8" s="139">
        <v>0</v>
      </c>
      <c r="P8" t="s">
        <v>211</v>
      </c>
    </row>
    <row r="9" spans="1:16">
      <c r="A9" s="1368"/>
      <c r="B9" s="65" t="s">
        <v>57</v>
      </c>
      <c r="C9" s="179" t="s">
        <v>103</v>
      </c>
      <c r="D9" s="96">
        <f>D8/2.205</f>
        <v>0</v>
      </c>
      <c r="E9" s="97">
        <f t="shared" si="0"/>
        <v>0</v>
      </c>
      <c r="F9" s="97">
        <f t="shared" si="0"/>
        <v>0</v>
      </c>
      <c r="G9" s="161">
        <f>G8/2.205</f>
        <v>2.5182190476190476</v>
      </c>
      <c r="H9" s="162">
        <f>H8/2.205</f>
        <v>6.9437823129251699</v>
      </c>
      <c r="I9" s="162">
        <f>I8/2.205</f>
        <v>8.4569931972789121</v>
      </c>
      <c r="J9" s="162">
        <f t="shared" ref="J9:O9" si="2">J8/2.205</f>
        <v>7.7249750566893427</v>
      </c>
      <c r="K9" s="162">
        <f t="shared" si="2"/>
        <v>6.2722857142857142</v>
      </c>
      <c r="L9" s="162">
        <f t="shared" si="2"/>
        <v>4.7744761904761903</v>
      </c>
      <c r="M9" s="162">
        <f t="shared" si="2"/>
        <v>3.4889673469387752</v>
      </c>
      <c r="N9" s="161">
        <f t="shared" si="2"/>
        <v>0</v>
      </c>
      <c r="O9" s="139">
        <f t="shared" si="2"/>
        <v>0</v>
      </c>
    </row>
    <row r="10" spans="1:16">
      <c r="A10" s="1368"/>
      <c r="B10" s="65" t="s">
        <v>58</v>
      </c>
      <c r="C10" s="179"/>
      <c r="D10" s="96">
        <v>0</v>
      </c>
      <c r="E10" s="97">
        <f t="shared" si="0"/>
        <v>0</v>
      </c>
      <c r="F10" s="97">
        <f t="shared" si="0"/>
        <v>0</v>
      </c>
      <c r="G10" s="351">
        <v>0.04</v>
      </c>
      <c r="H10" s="77">
        <f t="shared" ref="H10:M10" si="3">G10</f>
        <v>0.04</v>
      </c>
      <c r="I10" s="77">
        <f t="shared" si="3"/>
        <v>0.04</v>
      </c>
      <c r="J10" s="77">
        <f t="shared" si="3"/>
        <v>0.04</v>
      </c>
      <c r="K10" s="77">
        <f t="shared" si="3"/>
        <v>0.04</v>
      </c>
      <c r="L10" s="77">
        <f t="shared" si="3"/>
        <v>0.04</v>
      </c>
      <c r="M10" s="77">
        <f t="shared" si="3"/>
        <v>0.04</v>
      </c>
      <c r="N10" s="97">
        <v>0</v>
      </c>
      <c r="O10" s="97">
        <v>0</v>
      </c>
    </row>
    <row r="11" spans="1:16">
      <c r="A11" s="1368"/>
      <c r="B11" s="259" t="s">
        <v>51</v>
      </c>
      <c r="C11" s="180"/>
      <c r="D11" s="98">
        <v>1250</v>
      </c>
      <c r="E11" s="97">
        <f t="shared" si="0"/>
        <v>1250</v>
      </c>
      <c r="F11" s="97">
        <f t="shared" si="0"/>
        <v>1250</v>
      </c>
      <c r="G11" s="97">
        <f>$D11</f>
        <v>1250</v>
      </c>
      <c r="H11" s="77">
        <f t="shared" ref="H11:O11" si="4">$D11</f>
        <v>1250</v>
      </c>
      <c r="I11" s="77">
        <f t="shared" si="4"/>
        <v>1250</v>
      </c>
      <c r="J11" s="77">
        <f t="shared" si="4"/>
        <v>1250</v>
      </c>
      <c r="K11" s="77">
        <f t="shared" si="4"/>
        <v>1250</v>
      </c>
      <c r="L11" s="77">
        <f t="shared" si="4"/>
        <v>1250</v>
      </c>
      <c r="M11" s="77">
        <f t="shared" si="4"/>
        <v>1250</v>
      </c>
      <c r="N11" s="97">
        <f t="shared" si="4"/>
        <v>1250</v>
      </c>
      <c r="O11" s="139">
        <f t="shared" si="4"/>
        <v>1250</v>
      </c>
    </row>
    <row r="12" spans="1:16">
      <c r="A12" s="1368"/>
      <c r="B12" s="259" t="s">
        <v>52</v>
      </c>
      <c r="C12" s="180"/>
      <c r="D12" s="99">
        <f>D11/2.205</f>
        <v>566.8934240362812</v>
      </c>
      <c r="E12" s="100">
        <f>E11/2.205</f>
        <v>566.8934240362812</v>
      </c>
      <c r="F12" s="100">
        <f>F11/2.205</f>
        <v>566.8934240362812</v>
      </c>
      <c r="G12" s="100">
        <f t="shared" ref="G12:O12" si="5">G11/2.205</f>
        <v>566.8934240362812</v>
      </c>
      <c r="H12" s="78">
        <f t="shared" si="5"/>
        <v>566.8934240362812</v>
      </c>
      <c r="I12" s="78">
        <f t="shared" si="5"/>
        <v>566.8934240362812</v>
      </c>
      <c r="J12" s="78">
        <f t="shared" si="5"/>
        <v>566.8934240362812</v>
      </c>
      <c r="K12" s="78">
        <f t="shared" si="5"/>
        <v>566.8934240362812</v>
      </c>
      <c r="L12" s="78">
        <f t="shared" si="5"/>
        <v>566.8934240362812</v>
      </c>
      <c r="M12" s="78">
        <f t="shared" si="5"/>
        <v>566.8934240362812</v>
      </c>
      <c r="N12" s="100">
        <f t="shared" si="5"/>
        <v>566.8934240362812</v>
      </c>
      <c r="O12" s="140">
        <f t="shared" si="5"/>
        <v>566.8934240362812</v>
      </c>
    </row>
    <row r="13" spans="1:16" ht="16">
      <c r="A13" s="1368"/>
      <c r="B13" s="66" t="s">
        <v>68</v>
      </c>
      <c r="C13" s="180" t="s">
        <v>78</v>
      </c>
      <c r="D13" s="101">
        <f>D12^0.75*0.077</f>
        <v>8.9457506686948882</v>
      </c>
      <c r="E13" s="102">
        <f>E12^0.75*0.077</f>
        <v>8.9457506686948882</v>
      </c>
      <c r="F13" s="102">
        <f>F12^0.75*0.077</f>
        <v>8.9457506686948882</v>
      </c>
      <c r="G13" s="102">
        <f t="shared" ref="G13:O13" si="6">G12^0.75*0.077</f>
        <v>8.9457506686948882</v>
      </c>
      <c r="H13" s="79">
        <f t="shared" si="6"/>
        <v>8.9457506686948882</v>
      </c>
      <c r="I13" s="79">
        <f t="shared" si="6"/>
        <v>8.9457506686948882</v>
      </c>
      <c r="J13" s="79">
        <f t="shared" si="6"/>
        <v>8.9457506686948882</v>
      </c>
      <c r="K13" s="79">
        <f t="shared" si="6"/>
        <v>8.9457506686948882</v>
      </c>
      <c r="L13" s="79">
        <f t="shared" si="6"/>
        <v>8.9457506686948882</v>
      </c>
      <c r="M13" s="79">
        <f t="shared" si="6"/>
        <v>8.9457506686948882</v>
      </c>
      <c r="N13" s="102">
        <f t="shared" si="6"/>
        <v>8.9457506686948882</v>
      </c>
      <c r="O13" s="141">
        <f t="shared" si="6"/>
        <v>8.9457506686948882</v>
      </c>
    </row>
    <row r="14" spans="1:16" ht="16">
      <c r="A14" s="1368"/>
      <c r="B14" s="358" t="s">
        <v>69</v>
      </c>
      <c r="C14" s="180" t="s">
        <v>79</v>
      </c>
      <c r="D14" s="103">
        <f>(D7*(0.0149-(0.0000407*D5))*(EXP((0.05883*D5)-0.0000804*(D5^2))))/1000</f>
        <v>1.2456740121388219</v>
      </c>
      <c r="E14" s="104">
        <f>(E7*(0.0149-(0.0000407*E5))*(EXP((0.05883*E5)-0.0000804*(E5^2))))/1000</f>
        <v>2.2329838482765663</v>
      </c>
      <c r="F14" s="104">
        <f>(F7*(0.0149-(0.0000407*F5))*(EXP((0.05883*F5)-0.0000804*(F5^2))))/1000</f>
        <v>3.2956548714062568</v>
      </c>
      <c r="G14" s="104">
        <f t="shared" ref="G14:O14" si="7">(G7*(0.0149-(0.0000407*G5))*(EXP((0.05883*G5)-0.0000804*(G5^2))))/1000</f>
        <v>3.8132261834937067</v>
      </c>
      <c r="H14" s="80">
        <f t="shared" si="7"/>
        <v>0</v>
      </c>
      <c r="I14" s="80">
        <f t="shared" si="7"/>
        <v>0</v>
      </c>
      <c r="J14" s="80">
        <f t="shared" si="7"/>
        <v>1.0757055047397881E-3</v>
      </c>
      <c r="K14" s="80">
        <f t="shared" si="7"/>
        <v>5.1970420905103829E-3</v>
      </c>
      <c r="L14" s="80">
        <f t="shared" si="7"/>
        <v>2.1516619221843652E-2</v>
      </c>
      <c r="M14" s="80">
        <f t="shared" si="7"/>
        <v>7.5969405125859021E-2</v>
      </c>
      <c r="N14" s="104">
        <f t="shared" si="7"/>
        <v>0.22815220440925185</v>
      </c>
      <c r="O14" s="142">
        <f t="shared" si="7"/>
        <v>0.58067940555552289</v>
      </c>
      <c r="P14" t="s">
        <v>213</v>
      </c>
    </row>
    <row r="15" spans="1:16" ht="16">
      <c r="A15" s="1368"/>
      <c r="B15" s="66" t="s">
        <v>70</v>
      </c>
      <c r="C15" s="180" t="s">
        <v>80</v>
      </c>
      <c r="D15" s="105">
        <f t="shared" ref="D15:I15" si="8">(0.1*(D10*100)+0.35)*D9</f>
        <v>0</v>
      </c>
      <c r="E15" s="106">
        <f t="shared" si="8"/>
        <v>0</v>
      </c>
      <c r="F15" s="106">
        <f t="shared" si="8"/>
        <v>0</v>
      </c>
      <c r="G15" s="106">
        <f t="shared" si="8"/>
        <v>1.8886642857142857</v>
      </c>
      <c r="H15" s="81">
        <f t="shared" si="8"/>
        <v>5.2078367346938776</v>
      </c>
      <c r="I15" s="79">
        <f t="shared" si="8"/>
        <v>6.3427448979591841</v>
      </c>
      <c r="J15" s="79">
        <f t="shared" ref="J15:O15" si="9">(0.1*(J10*100)+0.35)*J9</f>
        <v>5.7937312925170072</v>
      </c>
      <c r="K15" s="79">
        <f t="shared" si="9"/>
        <v>4.7042142857142855</v>
      </c>
      <c r="L15" s="79">
        <f t="shared" si="9"/>
        <v>3.580857142857143</v>
      </c>
      <c r="M15" s="79">
        <f t="shared" si="9"/>
        <v>2.6167255102040814</v>
      </c>
      <c r="N15" s="102">
        <f t="shared" si="9"/>
        <v>0</v>
      </c>
      <c r="O15" s="141">
        <f t="shared" si="9"/>
        <v>0</v>
      </c>
    </row>
    <row r="16" spans="1:16" ht="15" thickBot="1">
      <c r="A16" s="1369"/>
      <c r="B16" s="68" t="s">
        <v>32</v>
      </c>
      <c r="C16" s="181" t="s">
        <v>90</v>
      </c>
      <c r="D16" s="107">
        <f>SUM(D13:D15)</f>
        <v>10.191424680833711</v>
      </c>
      <c r="E16" s="108">
        <f>SUM(E13:E15)</f>
        <v>11.178734516971454</v>
      </c>
      <c r="F16" s="108">
        <f>SUM(F13:F15)</f>
        <v>12.241405540101145</v>
      </c>
      <c r="G16" s="108">
        <f t="shared" ref="G16:O16" si="10">SUM(G13:G15)</f>
        <v>14.647641137902882</v>
      </c>
      <c r="H16" s="82">
        <f t="shared" si="10"/>
        <v>14.153587403388766</v>
      </c>
      <c r="I16" s="82">
        <f t="shared" si="10"/>
        <v>15.288495566654072</v>
      </c>
      <c r="J16" s="82">
        <f t="shared" si="10"/>
        <v>14.740557666716635</v>
      </c>
      <c r="K16" s="82">
        <f t="shared" si="10"/>
        <v>13.655161996499682</v>
      </c>
      <c r="L16" s="82">
        <f t="shared" si="10"/>
        <v>12.548124430773875</v>
      </c>
      <c r="M16" s="82">
        <f t="shared" si="10"/>
        <v>11.638445584024829</v>
      </c>
      <c r="N16" s="108">
        <f t="shared" si="10"/>
        <v>9.1739028731041401</v>
      </c>
      <c r="O16" s="143">
        <f t="shared" si="10"/>
        <v>9.5264300742504116</v>
      </c>
    </row>
    <row r="17" spans="1:24">
      <c r="A17" s="1367" t="s">
        <v>4</v>
      </c>
      <c r="B17" s="259" t="s">
        <v>51</v>
      </c>
      <c r="C17" s="182"/>
      <c r="D17" s="109">
        <v>1800</v>
      </c>
      <c r="E17" s="110">
        <f>$D17</f>
        <v>1800</v>
      </c>
      <c r="F17" s="110">
        <f t="shared" ref="F17:O17" si="11">$D17</f>
        <v>1800</v>
      </c>
      <c r="G17" s="110">
        <f t="shared" si="11"/>
        <v>1800</v>
      </c>
      <c r="H17" s="83">
        <f t="shared" si="11"/>
        <v>1800</v>
      </c>
      <c r="I17" s="83">
        <f t="shared" si="11"/>
        <v>1800</v>
      </c>
      <c r="J17" s="83">
        <f t="shared" si="11"/>
        <v>1800</v>
      </c>
      <c r="K17" s="83">
        <f t="shared" si="11"/>
        <v>1800</v>
      </c>
      <c r="L17" s="83">
        <f t="shared" si="11"/>
        <v>1800</v>
      </c>
      <c r="M17" s="83">
        <f t="shared" si="11"/>
        <v>1800</v>
      </c>
      <c r="N17" s="110">
        <f t="shared" si="11"/>
        <v>1800</v>
      </c>
      <c r="O17" s="144">
        <f t="shared" si="11"/>
        <v>1800</v>
      </c>
      <c r="P17" s="63"/>
    </row>
    <row r="18" spans="1:24">
      <c r="A18" s="1368"/>
      <c r="B18" s="259" t="s">
        <v>52</v>
      </c>
      <c r="C18" s="180"/>
      <c r="D18" s="128">
        <f>D17/2.205</f>
        <v>816.32653061224482</v>
      </c>
      <c r="E18" s="111">
        <f t="shared" ref="E18:O19" si="12">$D18</f>
        <v>816.32653061224482</v>
      </c>
      <c r="F18" s="111">
        <f t="shared" si="12"/>
        <v>816.32653061224482</v>
      </c>
      <c r="G18" s="111">
        <f t="shared" si="12"/>
        <v>816.32653061224482</v>
      </c>
      <c r="H18" s="84">
        <f t="shared" si="12"/>
        <v>816.32653061224482</v>
      </c>
      <c r="I18" s="84">
        <f t="shared" si="12"/>
        <v>816.32653061224482</v>
      </c>
      <c r="J18" s="84">
        <f t="shared" si="12"/>
        <v>816.32653061224482</v>
      </c>
      <c r="K18" s="84">
        <f t="shared" si="12"/>
        <v>816.32653061224482</v>
      </c>
      <c r="L18" s="84">
        <f t="shared" si="12"/>
        <v>816.32653061224482</v>
      </c>
      <c r="M18" s="84">
        <f t="shared" si="12"/>
        <v>816.32653061224482</v>
      </c>
      <c r="N18" s="111">
        <f t="shared" si="12"/>
        <v>816.32653061224482</v>
      </c>
      <c r="O18" s="266">
        <f t="shared" si="12"/>
        <v>816.32653061224482</v>
      </c>
      <c r="P18" s="272"/>
      <c r="Q18" s="273"/>
      <c r="R18" s="1394" t="s">
        <v>122</v>
      </c>
      <c r="S18" s="1394"/>
      <c r="T18" s="1394"/>
      <c r="U18" s="1394"/>
      <c r="V18" s="1394"/>
      <c r="W18" s="1394"/>
      <c r="X18" s="274"/>
    </row>
    <row r="19" spans="1:24" ht="17" thickBot="1">
      <c r="A19" s="1369"/>
      <c r="B19" s="68" t="s">
        <v>68</v>
      </c>
      <c r="C19" s="183" t="s">
        <v>78</v>
      </c>
      <c r="D19" s="107">
        <f>D18^0.75*0.077</f>
        <v>11.75949464414667</v>
      </c>
      <c r="E19" s="108">
        <f t="shared" si="12"/>
        <v>11.75949464414667</v>
      </c>
      <c r="F19" s="108">
        <f t="shared" si="12"/>
        <v>11.75949464414667</v>
      </c>
      <c r="G19" s="108">
        <f t="shared" si="12"/>
        <v>11.75949464414667</v>
      </c>
      <c r="H19" s="82">
        <f t="shared" si="12"/>
        <v>11.75949464414667</v>
      </c>
      <c r="I19" s="82">
        <f t="shared" si="12"/>
        <v>11.75949464414667</v>
      </c>
      <c r="J19" s="82">
        <f t="shared" si="12"/>
        <v>11.75949464414667</v>
      </c>
      <c r="K19" s="82">
        <f t="shared" si="12"/>
        <v>11.75949464414667</v>
      </c>
      <c r="L19" s="82">
        <f t="shared" si="12"/>
        <v>11.75949464414667</v>
      </c>
      <c r="M19" s="82">
        <f t="shared" si="12"/>
        <v>11.75949464414667</v>
      </c>
      <c r="N19" s="108">
        <f t="shared" si="12"/>
        <v>11.75949464414667</v>
      </c>
      <c r="O19" s="267">
        <f t="shared" si="12"/>
        <v>11.75949464414667</v>
      </c>
      <c r="P19" s="275"/>
      <c r="Q19" s="8"/>
      <c r="R19" s="8"/>
      <c r="S19" s="8"/>
      <c r="T19" s="8"/>
      <c r="U19" s="8"/>
      <c r="V19" s="8"/>
      <c r="W19" s="8"/>
      <c r="X19" s="276"/>
    </row>
    <row r="20" spans="1:24">
      <c r="A20" s="1391" t="s">
        <v>120</v>
      </c>
      <c r="B20" s="259" t="s">
        <v>51</v>
      </c>
      <c r="C20" s="184"/>
      <c r="D20" s="112"/>
      <c r="E20" s="113"/>
      <c r="F20" s="113"/>
      <c r="G20" s="283">
        <f>'Conv Weight Gained'!G2</f>
        <v>114.6375</v>
      </c>
      <c r="H20" s="85">
        <f>'Conv Weight Gained'!J4</f>
        <v>166.45500000000004</v>
      </c>
      <c r="I20" s="85">
        <f>H20+(H22*30.4)</f>
        <v>233.48700000000002</v>
      </c>
      <c r="J20" s="85">
        <f>I20+(I22*30.4)</f>
        <v>300.51900000000001</v>
      </c>
      <c r="K20" s="85">
        <f>J20+(J22*30.4)</f>
        <v>367.55099999999999</v>
      </c>
      <c r="L20" s="85">
        <f>K20+(K22*30.4)</f>
        <v>434.58299999999997</v>
      </c>
      <c r="M20" s="85">
        <f>L20+(L22*30.4)</f>
        <v>501.61499999999995</v>
      </c>
      <c r="N20" s="113"/>
      <c r="O20" s="268"/>
      <c r="P20" s="277" t="s">
        <v>123</v>
      </c>
      <c r="Q20" s="8" t="s">
        <v>114</v>
      </c>
      <c r="R20" s="8" t="s">
        <v>115</v>
      </c>
      <c r="S20" s="8" t="s">
        <v>116</v>
      </c>
      <c r="T20" s="8" t="s">
        <v>117</v>
      </c>
      <c r="U20" s="8" t="s">
        <v>125</v>
      </c>
      <c r="V20" s="8" t="s">
        <v>118</v>
      </c>
      <c r="W20" s="8" t="s">
        <v>119</v>
      </c>
      <c r="X20" s="276"/>
    </row>
    <row r="21" spans="1:24">
      <c r="A21" s="1392"/>
      <c r="B21" s="259" t="s">
        <v>52</v>
      </c>
      <c r="C21" s="185"/>
      <c r="D21" s="114"/>
      <c r="E21" s="115"/>
      <c r="F21" s="115"/>
      <c r="G21" s="115">
        <f t="shared" ref="G21:M21" si="13">G20/2.205</f>
        <v>51.989795918367349</v>
      </c>
      <c r="H21" s="86">
        <f t="shared" si="13"/>
        <v>75.489795918367363</v>
      </c>
      <c r="I21" s="86">
        <f t="shared" si="13"/>
        <v>105.88979591836735</v>
      </c>
      <c r="J21" s="86">
        <f t="shared" si="13"/>
        <v>136.28979591836733</v>
      </c>
      <c r="K21" s="86">
        <f t="shared" si="13"/>
        <v>166.68979591836734</v>
      </c>
      <c r="L21" s="86">
        <f t="shared" si="13"/>
        <v>197.08979591836732</v>
      </c>
      <c r="M21" s="86">
        <f t="shared" si="13"/>
        <v>227.48979591836732</v>
      </c>
      <c r="N21" s="115"/>
      <c r="O21" s="269"/>
      <c r="P21" s="277"/>
      <c r="Q21" s="202">
        <f>AVERAGE(G21:M21)</f>
        <v>137.27551020408163</v>
      </c>
      <c r="R21" s="202">
        <f>Q21^0.75</f>
        <v>40.104656403582439</v>
      </c>
      <c r="S21" s="202">
        <f>R21*0.077</f>
        <v>3.0880585430758476</v>
      </c>
      <c r="T21" s="278">
        <f>AVERAGE(G9:M9)</f>
        <v>5.7399569808875937</v>
      </c>
      <c r="U21" s="8">
        <v>0.42</v>
      </c>
      <c r="V21" s="8">
        <f>T21*U21</f>
        <v>2.4107819319727892</v>
      </c>
      <c r="W21" s="283">
        <f>S21-V21</f>
        <v>0.67727661110305837</v>
      </c>
      <c r="X21" s="276"/>
    </row>
    <row r="22" spans="1:24">
      <c r="A22" s="1392"/>
      <c r="B22" s="70" t="s">
        <v>59</v>
      </c>
      <c r="C22" s="185"/>
      <c r="D22" s="116"/>
      <c r="E22" s="115"/>
      <c r="F22" s="115"/>
      <c r="G22" s="283">
        <f>'Conv Weight Gained'!E2</f>
        <v>2.2050000000000001</v>
      </c>
      <c r="H22" s="362">
        <f>G22</f>
        <v>2.2050000000000001</v>
      </c>
      <c r="I22" s="86">
        <f>$H22</f>
        <v>2.2050000000000001</v>
      </c>
      <c r="J22" s="86">
        <f t="shared" ref="J22:M23" si="14">$H22</f>
        <v>2.2050000000000001</v>
      </c>
      <c r="K22" s="86">
        <f t="shared" si="14"/>
        <v>2.2050000000000001</v>
      </c>
      <c r="L22" s="86">
        <f t="shared" si="14"/>
        <v>2.2050000000000001</v>
      </c>
      <c r="M22" s="86">
        <f t="shared" si="14"/>
        <v>2.2050000000000001</v>
      </c>
      <c r="N22" s="115"/>
      <c r="O22" s="270"/>
      <c r="P22" s="279"/>
      <c r="Q22" s="8"/>
      <c r="R22" s="8"/>
      <c r="S22" s="8"/>
      <c r="T22" s="8"/>
      <c r="U22" s="8"/>
      <c r="V22" s="8"/>
      <c r="W22" s="8"/>
      <c r="X22" s="276"/>
    </row>
    <row r="23" spans="1:24">
      <c r="A23" s="1392"/>
      <c r="B23" s="70" t="s">
        <v>60</v>
      </c>
      <c r="C23" s="185"/>
      <c r="D23" s="114"/>
      <c r="E23" s="115"/>
      <c r="F23" s="115"/>
      <c r="G23" s="115">
        <f>G22/2.205</f>
        <v>1</v>
      </c>
      <c r="H23" s="86">
        <f>H22/2.205</f>
        <v>1</v>
      </c>
      <c r="I23" s="86">
        <f>$H23</f>
        <v>1</v>
      </c>
      <c r="J23" s="86">
        <f t="shared" si="14"/>
        <v>1</v>
      </c>
      <c r="K23" s="86">
        <f t="shared" si="14"/>
        <v>1</v>
      </c>
      <c r="L23" s="86">
        <f t="shared" si="14"/>
        <v>1</v>
      </c>
      <c r="M23" s="86">
        <f t="shared" si="14"/>
        <v>1</v>
      </c>
      <c r="N23" s="115"/>
      <c r="O23" s="270"/>
      <c r="P23" s="279" t="s">
        <v>126</v>
      </c>
      <c r="Q23" s="8"/>
      <c r="R23" s="8"/>
      <c r="S23" s="8"/>
      <c r="T23" s="8"/>
      <c r="U23" s="8"/>
      <c r="V23" s="8"/>
      <c r="W23" s="8"/>
      <c r="X23" s="276"/>
    </row>
    <row r="24" spans="1:24" ht="16">
      <c r="A24" s="1392"/>
      <c r="B24" s="66" t="s">
        <v>68</v>
      </c>
      <c r="C24" s="180" t="s">
        <v>78</v>
      </c>
      <c r="D24" s="117" t="s">
        <v>35</v>
      </c>
      <c r="E24" s="118" t="s">
        <v>35</v>
      </c>
      <c r="F24" s="118" t="s">
        <v>35</v>
      </c>
      <c r="G24" s="122">
        <f t="shared" ref="G24:M24" si="15">$W$21</f>
        <v>0.67727661110305837</v>
      </c>
      <c r="H24" s="88">
        <f t="shared" si="15"/>
        <v>0.67727661110305837</v>
      </c>
      <c r="I24" s="88">
        <f t="shared" si="15"/>
        <v>0.67727661110305837</v>
      </c>
      <c r="J24" s="88">
        <f t="shared" si="15"/>
        <v>0.67727661110305837</v>
      </c>
      <c r="K24" s="88">
        <f t="shared" si="15"/>
        <v>0.67727661110305837</v>
      </c>
      <c r="L24" s="88">
        <f t="shared" si="15"/>
        <v>0.67727661110305837</v>
      </c>
      <c r="M24" s="88">
        <f t="shared" si="15"/>
        <v>0.67727661110305837</v>
      </c>
      <c r="N24" s="122"/>
      <c r="O24" s="271"/>
      <c r="P24" s="280"/>
      <c r="Q24" s="8"/>
      <c r="R24" s="8"/>
      <c r="S24" s="8"/>
      <c r="T24" s="8"/>
      <c r="U24" s="8"/>
      <c r="V24" s="8"/>
      <c r="W24" s="8"/>
      <c r="X24" s="276"/>
    </row>
    <row r="25" spans="1:24" ht="16">
      <c r="A25" s="1407"/>
      <c r="B25" s="74" t="s">
        <v>71</v>
      </c>
      <c r="C25" s="185" t="s">
        <v>82</v>
      </c>
      <c r="D25" s="117" t="s">
        <v>35</v>
      </c>
      <c r="E25" s="118"/>
      <c r="F25" s="118" t="s">
        <v>35</v>
      </c>
      <c r="G25" s="123">
        <f t="shared" ref="G25:M25" si="16">G23^1.097*G21^0.75*0.0557</f>
        <v>1.0784345169172416</v>
      </c>
      <c r="H25" s="89">
        <f t="shared" si="16"/>
        <v>1.4264987112591911</v>
      </c>
      <c r="I25" s="89">
        <f t="shared" si="16"/>
        <v>1.8386360821622281</v>
      </c>
      <c r="J25" s="89">
        <f t="shared" si="16"/>
        <v>2.22178843124841</v>
      </c>
      <c r="K25" s="89">
        <f t="shared" si="16"/>
        <v>2.5839669605609621</v>
      </c>
      <c r="L25" s="89">
        <f t="shared" si="16"/>
        <v>2.9299033884153523</v>
      </c>
      <c r="M25" s="89">
        <f t="shared" si="16"/>
        <v>3.2626961914801744</v>
      </c>
      <c r="N25" s="123"/>
      <c r="O25" s="271"/>
      <c r="P25" s="280"/>
      <c r="Q25" s="8"/>
      <c r="R25" s="8"/>
      <c r="S25" s="8"/>
      <c r="T25" s="8"/>
      <c r="U25" s="8"/>
      <c r="V25" s="8"/>
      <c r="W25" s="8"/>
      <c r="X25" s="276"/>
    </row>
    <row r="26" spans="1:24">
      <c r="A26" s="1408" t="s">
        <v>113</v>
      </c>
      <c r="B26" s="259" t="s">
        <v>51</v>
      </c>
      <c r="C26" s="185"/>
      <c r="D26" s="114"/>
      <c r="E26" s="115"/>
      <c r="F26" s="115"/>
      <c r="G26" s="283">
        <f>'Conv Weight Gained'!R2</f>
        <v>103.97499999999999</v>
      </c>
      <c r="H26" s="86">
        <f>'Conv Weight Gained'!U4</f>
        <v>152.14999999999998</v>
      </c>
      <c r="I26" s="86">
        <f>H26+(H28*30.4)</f>
        <v>214.46999999999997</v>
      </c>
      <c r="J26" s="86">
        <f>I26+(I28*30.4)</f>
        <v>276.78999999999996</v>
      </c>
      <c r="K26" s="86">
        <f>J26+(J28*30.4)</f>
        <v>339.10999999999996</v>
      </c>
      <c r="L26" s="86">
        <f>K26+(K28*30.4)</f>
        <v>401.42999999999995</v>
      </c>
      <c r="M26" s="86">
        <f>L26+(L28*30.4)</f>
        <v>463.74999999999994</v>
      </c>
      <c r="N26" s="115"/>
      <c r="O26" s="270"/>
      <c r="P26" s="279" t="s">
        <v>124</v>
      </c>
      <c r="Q26" s="8" t="s">
        <v>114</v>
      </c>
      <c r="R26" s="8" t="s">
        <v>115</v>
      </c>
      <c r="S26" s="8" t="s">
        <v>116</v>
      </c>
      <c r="T26" s="8" t="s">
        <v>117</v>
      </c>
      <c r="U26" s="8" t="s">
        <v>125</v>
      </c>
      <c r="V26" s="8" t="s">
        <v>118</v>
      </c>
      <c r="W26" s="8" t="s">
        <v>119</v>
      </c>
      <c r="X26" s="276"/>
    </row>
    <row r="27" spans="1:24">
      <c r="A27" s="1392"/>
      <c r="B27" s="259" t="s">
        <v>52</v>
      </c>
      <c r="C27" s="185"/>
      <c r="D27" s="114"/>
      <c r="E27" s="115"/>
      <c r="F27" s="115"/>
      <c r="G27" s="115">
        <f t="shared" ref="G27:M27" si="17">G26/2.205</f>
        <v>47.154195011337862</v>
      </c>
      <c r="H27" s="86">
        <f t="shared" si="17"/>
        <v>69.00226757369613</v>
      </c>
      <c r="I27" s="86">
        <f t="shared" si="17"/>
        <v>97.265306122448962</v>
      </c>
      <c r="J27" s="86">
        <f t="shared" si="17"/>
        <v>125.52834467120179</v>
      </c>
      <c r="K27" s="86">
        <f t="shared" si="17"/>
        <v>153.79138321995461</v>
      </c>
      <c r="L27" s="86">
        <f t="shared" si="17"/>
        <v>182.05442176870744</v>
      </c>
      <c r="M27" s="86">
        <f t="shared" si="17"/>
        <v>210.31746031746027</v>
      </c>
      <c r="N27" s="115"/>
      <c r="O27" s="270"/>
      <c r="P27" s="279"/>
      <c r="Q27" s="202">
        <f>AVERAGE(G27:M27)</f>
        <v>126.44476838354387</v>
      </c>
      <c r="R27" s="202">
        <f>Q27^0.75</f>
        <v>37.707318468281585</v>
      </c>
      <c r="S27" s="202">
        <f>R27*0.077</f>
        <v>2.9034635220576819</v>
      </c>
      <c r="T27" s="278">
        <f>AVERAGE(G9:M9)</f>
        <v>5.7399569808875937</v>
      </c>
      <c r="U27" s="8">
        <v>0.42</v>
      </c>
      <c r="V27" s="8">
        <f>T27*U27</f>
        <v>2.4107819319727892</v>
      </c>
      <c r="W27" s="283">
        <f>S27-V27</f>
        <v>0.49268159008489265</v>
      </c>
      <c r="X27" s="276"/>
    </row>
    <row r="28" spans="1:24">
      <c r="A28" s="1392"/>
      <c r="B28" s="70" t="s">
        <v>59</v>
      </c>
      <c r="C28" s="185"/>
      <c r="D28" s="116"/>
      <c r="E28" s="115"/>
      <c r="F28" s="115"/>
      <c r="G28" s="283">
        <f>'Conv Weight Gained'!P2</f>
        <v>2.0499999999999998</v>
      </c>
      <c r="H28" s="362">
        <f>G28</f>
        <v>2.0499999999999998</v>
      </c>
      <c r="I28" s="86">
        <f>$H28</f>
        <v>2.0499999999999998</v>
      </c>
      <c r="J28" s="86">
        <f t="shared" ref="J28:M29" si="18">$H28</f>
        <v>2.0499999999999998</v>
      </c>
      <c r="K28" s="86">
        <f t="shared" si="18"/>
        <v>2.0499999999999998</v>
      </c>
      <c r="L28" s="86">
        <f t="shared" si="18"/>
        <v>2.0499999999999998</v>
      </c>
      <c r="M28" s="86">
        <f t="shared" si="18"/>
        <v>2.0499999999999998</v>
      </c>
      <c r="N28" s="115"/>
      <c r="O28" s="270"/>
      <c r="P28" s="281"/>
      <c r="Q28" s="11"/>
      <c r="R28" s="11"/>
      <c r="S28" s="11"/>
      <c r="T28" s="11"/>
      <c r="U28" s="11"/>
      <c r="V28" s="11"/>
      <c r="W28" s="11"/>
      <c r="X28" s="282"/>
    </row>
    <row r="29" spans="1:24">
      <c r="A29" s="1392"/>
      <c r="B29" s="70" t="s">
        <v>60</v>
      </c>
      <c r="C29" s="185"/>
      <c r="D29" s="114"/>
      <c r="E29" s="115"/>
      <c r="F29" s="115"/>
      <c r="G29" s="115">
        <f>G28/2.205</f>
        <v>0.92970521541950102</v>
      </c>
      <c r="H29" s="86">
        <f>H28/2.205</f>
        <v>0.92970521541950102</v>
      </c>
      <c r="I29" s="86">
        <f>$H29</f>
        <v>0.92970521541950102</v>
      </c>
      <c r="J29" s="86">
        <f t="shared" si="18"/>
        <v>0.92970521541950102</v>
      </c>
      <c r="K29" s="86">
        <f t="shared" si="18"/>
        <v>0.92970521541950102</v>
      </c>
      <c r="L29" s="86">
        <f t="shared" si="18"/>
        <v>0.92970521541950102</v>
      </c>
      <c r="M29" s="86">
        <f t="shared" si="18"/>
        <v>0.92970521541950102</v>
      </c>
      <c r="N29" s="115"/>
      <c r="O29" s="147"/>
      <c r="P29" s="63"/>
    </row>
    <row r="30" spans="1:24" ht="16">
      <c r="A30" s="1392"/>
      <c r="B30" s="66" t="s">
        <v>68</v>
      </c>
      <c r="C30" s="180" t="s">
        <v>78</v>
      </c>
      <c r="D30" s="117" t="s">
        <v>35</v>
      </c>
      <c r="E30" s="118" t="s">
        <v>35</v>
      </c>
      <c r="F30" s="118" t="s">
        <v>35</v>
      </c>
      <c r="G30" s="122">
        <f t="shared" ref="G30:M30" si="19">$W$27</f>
        <v>0.49268159008489265</v>
      </c>
      <c r="H30" s="88">
        <f t="shared" si="19"/>
        <v>0.49268159008489265</v>
      </c>
      <c r="I30" s="88">
        <f t="shared" si="19"/>
        <v>0.49268159008489265</v>
      </c>
      <c r="J30" s="88">
        <f t="shared" si="19"/>
        <v>0.49268159008489265</v>
      </c>
      <c r="K30" s="88">
        <f t="shared" si="19"/>
        <v>0.49268159008489265</v>
      </c>
      <c r="L30" s="88">
        <f t="shared" si="19"/>
        <v>0.49268159008489265</v>
      </c>
      <c r="M30" s="88">
        <f t="shared" si="19"/>
        <v>0.49268159008489265</v>
      </c>
      <c r="N30" s="122"/>
      <c r="O30" s="148"/>
      <c r="P30" s="63"/>
    </row>
    <row r="31" spans="1:24" ht="17" thickBot="1">
      <c r="A31" s="1393"/>
      <c r="B31" s="75" t="s">
        <v>71</v>
      </c>
      <c r="C31" s="186" t="s">
        <v>81</v>
      </c>
      <c r="D31" s="119" t="s">
        <v>35</v>
      </c>
      <c r="E31" s="120" t="s">
        <v>35</v>
      </c>
      <c r="F31" s="120" t="s">
        <v>35</v>
      </c>
      <c r="G31" s="125">
        <f t="shared" ref="G31:M31" si="20">G29^1.119*G27^0.75*0.0686</f>
        <v>1.1377391987763059</v>
      </c>
      <c r="H31" s="90">
        <f t="shared" si="20"/>
        <v>1.5137354855157097</v>
      </c>
      <c r="I31" s="90">
        <f t="shared" si="20"/>
        <v>1.9582626390229254</v>
      </c>
      <c r="J31" s="90">
        <f t="shared" si="20"/>
        <v>2.3711488679372756</v>
      </c>
      <c r="K31" s="90">
        <f t="shared" si="20"/>
        <v>2.7612229351690001</v>
      </c>
      <c r="L31" s="90">
        <f t="shared" si="20"/>
        <v>3.1336709635955975</v>
      </c>
      <c r="M31" s="90">
        <f t="shared" si="20"/>
        <v>3.4918772325763503</v>
      </c>
      <c r="N31" s="125"/>
      <c r="O31" s="149"/>
    </row>
    <row r="32" spans="1:24">
      <c r="A32" s="1391" t="s">
        <v>66</v>
      </c>
      <c r="B32" s="259" t="s">
        <v>51</v>
      </c>
      <c r="C32" s="184"/>
      <c r="D32" s="406"/>
      <c r="E32" s="407"/>
      <c r="F32" s="407"/>
      <c r="G32" s="407"/>
      <c r="H32" s="407"/>
      <c r="I32" s="407"/>
      <c r="J32" s="363"/>
      <c r="K32" s="87"/>
      <c r="L32" s="87"/>
      <c r="M32" s="87"/>
      <c r="N32" s="130"/>
      <c r="O32" s="150"/>
      <c r="P32" t="s">
        <v>215</v>
      </c>
    </row>
    <row r="33" spans="1:16">
      <c r="A33" s="1392"/>
      <c r="B33" s="259" t="s">
        <v>52</v>
      </c>
      <c r="C33" s="185"/>
      <c r="D33" s="408"/>
      <c r="E33" s="397"/>
      <c r="F33" s="397"/>
      <c r="G33" s="397"/>
      <c r="H33" s="397"/>
      <c r="I33" s="397"/>
      <c r="J33" s="364"/>
      <c r="K33" s="86"/>
      <c r="L33" s="86"/>
      <c r="M33" s="86"/>
      <c r="N33" s="132"/>
      <c r="O33" s="151"/>
      <c r="P33" t="s">
        <v>216</v>
      </c>
    </row>
    <row r="34" spans="1:16">
      <c r="A34" s="1392"/>
      <c r="B34" s="70" t="s">
        <v>59</v>
      </c>
      <c r="C34" s="187"/>
      <c r="D34" s="409"/>
      <c r="E34" s="397"/>
      <c r="F34" s="397"/>
      <c r="G34" s="397"/>
      <c r="H34" s="410"/>
      <c r="I34" s="411"/>
      <c r="J34" s="365"/>
      <c r="K34" s="92"/>
      <c r="L34" s="92"/>
      <c r="M34" s="92"/>
      <c r="N34" s="132"/>
      <c r="O34" s="151"/>
    </row>
    <row r="35" spans="1:16">
      <c r="A35" s="1392"/>
      <c r="B35" s="70" t="s">
        <v>60</v>
      </c>
      <c r="C35" s="185"/>
      <c r="D35" s="408"/>
      <c r="E35" s="397"/>
      <c r="F35" s="397"/>
      <c r="G35" s="397"/>
      <c r="H35" s="397"/>
      <c r="I35" s="397"/>
      <c r="J35" s="364"/>
      <c r="K35" s="86"/>
      <c r="L35" s="86"/>
      <c r="M35" s="86"/>
      <c r="N35" s="132"/>
      <c r="O35" s="151"/>
    </row>
    <row r="36" spans="1:16" ht="16">
      <c r="A36" s="1392"/>
      <c r="B36" s="66" t="s">
        <v>68</v>
      </c>
      <c r="C36" s="180" t="s">
        <v>78</v>
      </c>
      <c r="D36" s="412"/>
      <c r="E36" s="399"/>
      <c r="F36" s="399"/>
      <c r="G36" s="399"/>
      <c r="H36" s="399"/>
      <c r="I36" s="399"/>
      <c r="J36" s="366"/>
      <c r="K36" s="88"/>
      <c r="L36" s="88"/>
      <c r="M36" s="88"/>
      <c r="N36" s="134"/>
      <c r="O36" s="152"/>
    </row>
    <row r="37" spans="1:16" ht="16">
      <c r="A37" s="1407"/>
      <c r="B37" s="74" t="s">
        <v>71</v>
      </c>
      <c r="C37" s="185" t="s">
        <v>83</v>
      </c>
      <c r="D37" s="413"/>
      <c r="E37" s="401"/>
      <c r="F37" s="401"/>
      <c r="G37" s="401"/>
      <c r="H37" s="401"/>
      <c r="I37" s="401"/>
      <c r="J37" s="367"/>
      <c r="K37" s="89"/>
      <c r="L37" s="89"/>
      <c r="M37" s="89"/>
      <c r="N37" s="134"/>
      <c r="O37" s="152"/>
    </row>
    <row r="38" spans="1:16">
      <c r="A38" s="1408" t="s">
        <v>67</v>
      </c>
      <c r="B38" s="259" t="s">
        <v>51</v>
      </c>
      <c r="C38" s="185"/>
      <c r="D38" s="408"/>
      <c r="E38" s="414"/>
      <c r="F38" s="414"/>
      <c r="G38" s="414"/>
      <c r="H38" s="414"/>
      <c r="I38" s="414"/>
      <c r="J38" s="368"/>
      <c r="K38" s="86"/>
      <c r="L38" s="86"/>
      <c r="M38" s="86"/>
      <c r="N38" s="132"/>
      <c r="O38" s="151"/>
    </row>
    <row r="39" spans="1:16">
      <c r="A39" s="1392"/>
      <c r="B39" s="259" t="s">
        <v>52</v>
      </c>
      <c r="C39" s="185"/>
      <c r="D39" s="408"/>
      <c r="E39" s="397"/>
      <c r="F39" s="397"/>
      <c r="G39" s="397"/>
      <c r="H39" s="397"/>
      <c r="I39" s="397"/>
      <c r="J39" s="364"/>
      <c r="K39" s="86"/>
      <c r="L39" s="86"/>
      <c r="M39" s="86"/>
      <c r="N39" s="132"/>
      <c r="O39" s="151"/>
    </row>
    <row r="40" spans="1:16">
      <c r="A40" s="1392"/>
      <c r="B40" s="70" t="s">
        <v>59</v>
      </c>
      <c r="C40" s="187"/>
      <c r="D40" s="409"/>
      <c r="E40" s="397"/>
      <c r="F40" s="397"/>
      <c r="G40" s="397"/>
      <c r="H40" s="410"/>
      <c r="I40" s="411"/>
      <c r="J40" s="365"/>
      <c r="K40" s="92"/>
      <c r="L40" s="92"/>
      <c r="M40" s="92"/>
      <c r="N40" s="132"/>
      <c r="O40" s="151"/>
    </row>
    <row r="41" spans="1:16">
      <c r="A41" s="1392"/>
      <c r="B41" s="70" t="s">
        <v>60</v>
      </c>
      <c r="C41" s="185"/>
      <c r="D41" s="408"/>
      <c r="E41" s="397"/>
      <c r="F41" s="397"/>
      <c r="G41" s="397"/>
      <c r="H41" s="397"/>
      <c r="I41" s="397"/>
      <c r="J41" s="364"/>
      <c r="K41" s="86"/>
      <c r="L41" s="86"/>
      <c r="M41" s="86"/>
      <c r="N41" s="132"/>
      <c r="O41" s="151"/>
    </row>
    <row r="42" spans="1:16" ht="16">
      <c r="A42" s="1392"/>
      <c r="B42" s="66" t="s">
        <v>68</v>
      </c>
      <c r="C42" s="180" t="s">
        <v>78</v>
      </c>
      <c r="D42" s="412"/>
      <c r="E42" s="399"/>
      <c r="F42" s="399"/>
      <c r="G42" s="399"/>
      <c r="H42" s="399"/>
      <c r="I42" s="399"/>
      <c r="J42" s="366"/>
      <c r="K42" s="88"/>
      <c r="L42" s="88"/>
      <c r="M42" s="88"/>
      <c r="N42" s="134"/>
      <c r="O42" s="152"/>
    </row>
    <row r="43" spans="1:16" ht="17" thickBot="1">
      <c r="A43" s="1393"/>
      <c r="B43" s="75" t="s">
        <v>71</v>
      </c>
      <c r="C43" s="186" t="s">
        <v>82</v>
      </c>
      <c r="D43" s="415"/>
      <c r="E43" s="404"/>
      <c r="F43" s="404"/>
      <c r="G43" s="404"/>
      <c r="H43" s="404"/>
      <c r="I43" s="404"/>
      <c r="J43" s="369"/>
      <c r="K43" s="90"/>
      <c r="L43" s="90"/>
      <c r="M43" s="90"/>
      <c r="N43" s="136"/>
      <c r="O43" s="153"/>
    </row>
    <row r="44" spans="1:16">
      <c r="A44" s="1367" t="s">
        <v>64</v>
      </c>
      <c r="B44" s="259" t="s">
        <v>51</v>
      </c>
      <c r="C44" s="184"/>
      <c r="D44" s="532">
        <f>O56+(O58*30.4)</f>
        <v>720.0150000000001</v>
      </c>
      <c r="E44" s="538">
        <f t="shared" ref="E44:J44" si="21">D44+(D46*30.4)</f>
        <v>792.97500000000014</v>
      </c>
      <c r="F44" s="538">
        <f t="shared" si="21"/>
        <v>893.29500000000007</v>
      </c>
      <c r="G44" s="538">
        <f t="shared" si="21"/>
        <v>993.61500000000001</v>
      </c>
      <c r="H44" s="539">
        <f>G44+((AVERAGE(G46:H46))*30.4)</f>
        <v>1093.9349999999999</v>
      </c>
      <c r="I44" s="539">
        <f t="shared" si="21"/>
        <v>1194.2549999999999</v>
      </c>
      <c r="J44" s="539">
        <f t="shared" si="21"/>
        <v>1294.5749999999998</v>
      </c>
      <c r="K44" s="539"/>
      <c r="L44" s="389"/>
      <c r="M44" s="389"/>
      <c r="N44" s="389"/>
      <c r="O44" s="390"/>
    </row>
    <row r="45" spans="1:16">
      <c r="A45" s="1368"/>
      <c r="B45" s="259" t="s">
        <v>52</v>
      </c>
      <c r="C45" s="185"/>
      <c r="D45" s="533">
        <f>D44/2.205</f>
        <v>326.53741496598644</v>
      </c>
      <c r="E45" s="540">
        <f t="shared" ref="E45:J45" si="22">E44/2.205</f>
        <v>359.62585034013608</v>
      </c>
      <c r="F45" s="540">
        <f t="shared" si="22"/>
        <v>405.12244897959187</v>
      </c>
      <c r="G45" s="540">
        <f t="shared" si="22"/>
        <v>450.61904761904759</v>
      </c>
      <c r="H45" s="540">
        <f t="shared" si="22"/>
        <v>496.11564625850338</v>
      </c>
      <c r="I45" s="540">
        <f t="shared" si="22"/>
        <v>541.61224489795916</v>
      </c>
      <c r="J45" s="540">
        <f t="shared" si="22"/>
        <v>587.10884353741483</v>
      </c>
      <c r="K45" s="540"/>
      <c r="L45" s="391"/>
      <c r="M45" s="391"/>
      <c r="N45" s="391"/>
      <c r="O45" s="392"/>
    </row>
    <row r="46" spans="1:16">
      <c r="A46" s="1368"/>
      <c r="B46" s="70" t="s">
        <v>59</v>
      </c>
      <c r="C46" s="187"/>
      <c r="D46" s="177">
        <f>N58</f>
        <v>2.4</v>
      </c>
      <c r="E46" s="283">
        <v>3.3</v>
      </c>
      <c r="F46" s="540">
        <f>$E46</f>
        <v>3.3</v>
      </c>
      <c r="G46" s="541">
        <f>$E46</f>
        <v>3.3</v>
      </c>
      <c r="H46" s="427">
        <f>$E46</f>
        <v>3.3</v>
      </c>
      <c r="I46" s="427">
        <f>$E46</f>
        <v>3.3</v>
      </c>
      <c r="J46" s="427">
        <f>$E46</f>
        <v>3.3</v>
      </c>
      <c r="K46" s="427"/>
      <c r="L46" s="393"/>
      <c r="M46" s="394"/>
      <c r="N46" s="395"/>
      <c r="O46" s="396"/>
    </row>
    <row r="47" spans="1:16">
      <c r="A47" s="1368"/>
      <c r="B47" s="70" t="s">
        <v>60</v>
      </c>
      <c r="C47" s="185"/>
      <c r="D47" s="534">
        <f>D46/2.205</f>
        <v>1.0884353741496597</v>
      </c>
      <c r="E47" s="542">
        <f t="shared" ref="E47:J47" si="23">E46/2.205</f>
        <v>1.4965986394557822</v>
      </c>
      <c r="F47" s="542">
        <f t="shared" si="23"/>
        <v>1.4965986394557822</v>
      </c>
      <c r="G47" s="542">
        <f t="shared" si="23"/>
        <v>1.4965986394557822</v>
      </c>
      <c r="H47" s="542">
        <f t="shared" si="23"/>
        <v>1.4965986394557822</v>
      </c>
      <c r="I47" s="542">
        <f t="shared" si="23"/>
        <v>1.4965986394557822</v>
      </c>
      <c r="J47" s="542">
        <f t="shared" si="23"/>
        <v>1.4965986394557822</v>
      </c>
      <c r="K47" s="542"/>
      <c r="L47" s="397"/>
      <c r="M47" s="397"/>
      <c r="N47" s="397"/>
      <c r="O47" s="398"/>
    </row>
    <row r="48" spans="1:16" ht="16">
      <c r="A48" s="1368"/>
      <c r="B48" s="66" t="s">
        <v>68</v>
      </c>
      <c r="C48" s="180" t="s">
        <v>78</v>
      </c>
      <c r="D48" s="535">
        <f>D45^0.75*0.077</f>
        <v>5.9148050898358262</v>
      </c>
      <c r="E48" s="543">
        <f t="shared" ref="E48:J48" si="24">E45^0.75*0.077</f>
        <v>6.3588547009085996</v>
      </c>
      <c r="F48" s="543">
        <f t="shared" si="24"/>
        <v>6.9531317270970119</v>
      </c>
      <c r="G48" s="543">
        <f t="shared" si="24"/>
        <v>7.5309173992471008</v>
      </c>
      <c r="H48" s="543">
        <f t="shared" si="24"/>
        <v>8.0942743055585282</v>
      </c>
      <c r="I48" s="543">
        <f t="shared" si="24"/>
        <v>8.6448424143612748</v>
      </c>
      <c r="J48" s="543">
        <f t="shared" si="24"/>
        <v>9.1839538305488908</v>
      </c>
      <c r="K48" s="543"/>
      <c r="L48" s="399"/>
      <c r="M48" s="399"/>
      <c r="N48" s="399"/>
      <c r="O48" s="400"/>
    </row>
    <row r="49" spans="1:16" ht="16">
      <c r="A49" s="1409"/>
      <c r="B49" s="74" t="s">
        <v>71</v>
      </c>
      <c r="C49" s="185" t="s">
        <v>82</v>
      </c>
      <c r="D49" s="536">
        <f>D47^1.097*D45^0.75*0.0557</f>
        <v>4.6954520801996082</v>
      </c>
      <c r="E49" s="544">
        <f t="shared" ref="E49:J49" si="25">E47^1.097*E45^0.75*0.0557</f>
        <v>7.1586962642500254</v>
      </c>
      <c r="F49" s="544">
        <f t="shared" si="25"/>
        <v>7.8277237742978212</v>
      </c>
      <c r="G49" s="544">
        <f t="shared" si="25"/>
        <v>8.4781855834294273</v>
      </c>
      <c r="H49" s="544">
        <f t="shared" si="25"/>
        <v>9.1124037202386905</v>
      </c>
      <c r="I49" s="544">
        <f t="shared" si="25"/>
        <v>9.7322244346730447</v>
      </c>
      <c r="J49" s="544">
        <f t="shared" si="25"/>
        <v>10.339147388978853</v>
      </c>
      <c r="K49" s="544"/>
      <c r="L49" s="401"/>
      <c r="M49" s="401"/>
      <c r="N49" s="401"/>
      <c r="O49" s="402"/>
    </row>
    <row r="50" spans="1:16">
      <c r="A50" s="1390" t="s">
        <v>65</v>
      </c>
      <c r="B50" s="259" t="s">
        <v>51</v>
      </c>
      <c r="C50" s="185"/>
      <c r="D50" s="533">
        <f>O62+(O64*30.4)</f>
        <v>641.52</v>
      </c>
      <c r="E50" s="540">
        <f t="shared" ref="E50:J50" si="26">D50+(D52*30.4)</f>
        <v>699.28</v>
      </c>
      <c r="F50" s="540">
        <f t="shared" si="26"/>
        <v>789.56799999999998</v>
      </c>
      <c r="G50" s="540">
        <f t="shared" si="26"/>
        <v>879.85599999999999</v>
      </c>
      <c r="H50" s="9">
        <f>G50+((AVERAGE(G52:H52))*30.4)</f>
        <v>970.14400000000001</v>
      </c>
      <c r="I50" s="9">
        <f t="shared" si="26"/>
        <v>1060.432</v>
      </c>
      <c r="J50" s="9">
        <f t="shared" si="26"/>
        <v>1150.72</v>
      </c>
      <c r="K50" s="9"/>
      <c r="L50" s="403"/>
      <c r="M50" s="403"/>
      <c r="N50" s="403"/>
      <c r="O50" s="392"/>
    </row>
    <row r="51" spans="1:16">
      <c r="A51" s="1368"/>
      <c r="B51" s="259" t="s">
        <v>52</v>
      </c>
      <c r="C51" s="185"/>
      <c r="D51" s="533">
        <f>D50/2.205</f>
        <v>290.93877551020404</v>
      </c>
      <c r="E51" s="540">
        <f t="shared" ref="E51:J51" si="27">E50/2.205</f>
        <v>317.13378684807253</v>
      </c>
      <c r="F51" s="540">
        <f t="shared" si="27"/>
        <v>358.08072562358274</v>
      </c>
      <c r="G51" s="540">
        <f t="shared" si="27"/>
        <v>399.02766439909294</v>
      </c>
      <c r="H51" s="540">
        <f t="shared" si="27"/>
        <v>439.97460317460315</v>
      </c>
      <c r="I51" s="540">
        <f t="shared" si="27"/>
        <v>480.92154195011335</v>
      </c>
      <c r="J51" s="540">
        <f t="shared" si="27"/>
        <v>521.86848072562361</v>
      </c>
      <c r="K51" s="540"/>
      <c r="L51" s="391"/>
      <c r="M51" s="391"/>
      <c r="N51" s="391"/>
      <c r="O51" s="392"/>
    </row>
    <row r="52" spans="1:16">
      <c r="A52" s="1368"/>
      <c r="B52" s="70" t="s">
        <v>59</v>
      </c>
      <c r="C52" s="187"/>
      <c r="D52" s="177">
        <f>N64</f>
        <v>1.9</v>
      </c>
      <c r="E52" s="283">
        <f>'Conv Weight Gained'!P22</f>
        <v>2.97</v>
      </c>
      <c r="F52" s="545">
        <f>E52</f>
        <v>2.97</v>
      </c>
      <c r="G52" s="545">
        <f>F52</f>
        <v>2.97</v>
      </c>
      <c r="H52" s="545">
        <f>G52</f>
        <v>2.97</v>
      </c>
      <c r="I52" s="545">
        <f>H52</f>
        <v>2.97</v>
      </c>
      <c r="J52" s="545">
        <f>I52</f>
        <v>2.97</v>
      </c>
      <c r="K52" s="545"/>
      <c r="L52" s="393"/>
      <c r="M52" s="393"/>
      <c r="N52" s="395"/>
      <c r="O52" s="396"/>
    </row>
    <row r="53" spans="1:16">
      <c r="A53" s="1368"/>
      <c r="B53" s="70" t="s">
        <v>60</v>
      </c>
      <c r="C53" s="185"/>
      <c r="D53" s="534">
        <f>D52/2.205</f>
        <v>0.86167800453514731</v>
      </c>
      <c r="E53" s="542">
        <f t="shared" ref="E53:J53" si="28">E52/2.205</f>
        <v>1.346938775510204</v>
      </c>
      <c r="F53" s="542">
        <f t="shared" si="28"/>
        <v>1.346938775510204</v>
      </c>
      <c r="G53" s="542">
        <f t="shared" si="28"/>
        <v>1.346938775510204</v>
      </c>
      <c r="H53" s="542">
        <f t="shared" si="28"/>
        <v>1.346938775510204</v>
      </c>
      <c r="I53" s="542">
        <f t="shared" si="28"/>
        <v>1.346938775510204</v>
      </c>
      <c r="J53" s="542">
        <f t="shared" si="28"/>
        <v>1.346938775510204</v>
      </c>
      <c r="K53" s="542"/>
      <c r="L53" s="397"/>
      <c r="M53" s="397"/>
      <c r="N53" s="397"/>
      <c r="O53" s="398"/>
    </row>
    <row r="54" spans="1:16" ht="16">
      <c r="A54" s="1368"/>
      <c r="B54" s="66" t="s">
        <v>68</v>
      </c>
      <c r="C54" s="180" t="s">
        <v>78</v>
      </c>
      <c r="D54" s="535">
        <f>D51^0.75*0.077</f>
        <v>5.4242778837009569</v>
      </c>
      <c r="E54" s="543">
        <f t="shared" ref="E54:J54" si="29">E51^0.75*0.077</f>
        <v>5.7865886417324761</v>
      </c>
      <c r="F54" s="543">
        <f t="shared" si="29"/>
        <v>6.3383531648816192</v>
      </c>
      <c r="G54" s="543">
        <f t="shared" si="29"/>
        <v>6.874529497520772</v>
      </c>
      <c r="H54" s="543">
        <f t="shared" si="29"/>
        <v>7.3970990032744979</v>
      </c>
      <c r="I54" s="543">
        <f t="shared" si="29"/>
        <v>7.9076310555479781</v>
      </c>
      <c r="J54" s="543">
        <f t="shared" si="29"/>
        <v>8.4073964275315678</v>
      </c>
      <c r="K54" s="543"/>
      <c r="L54" s="399"/>
      <c r="M54" s="399"/>
      <c r="N54" s="399"/>
      <c r="O54" s="400"/>
    </row>
    <row r="55" spans="1:16" ht="15" thickBot="1">
      <c r="A55" s="1369"/>
      <c r="B55" s="75" t="s">
        <v>261</v>
      </c>
      <c r="C55" s="186" t="s">
        <v>81</v>
      </c>
      <c r="D55" s="537">
        <f>D53^1.119*D51^0.75*0.0686</f>
        <v>4.0909708381122716</v>
      </c>
      <c r="E55" s="546">
        <f t="shared" ref="E55:J55" si="30">E53^1.119*E51^0.75*0.0608</f>
        <v>6.3764023719222509</v>
      </c>
      <c r="F55" s="546">
        <f t="shared" si="30"/>
        <v>6.9844069894921263</v>
      </c>
      <c r="G55" s="546">
        <f t="shared" si="30"/>
        <v>7.5752345479869829</v>
      </c>
      <c r="H55" s="546">
        <f t="shared" si="30"/>
        <v>8.1510683668887314</v>
      </c>
      <c r="I55" s="546">
        <f t="shared" si="30"/>
        <v>8.7136377822402107</v>
      </c>
      <c r="J55" s="546">
        <f t="shared" si="30"/>
        <v>9.2643430942332703</v>
      </c>
      <c r="K55" s="546"/>
      <c r="L55" s="404"/>
      <c r="M55" s="404"/>
      <c r="N55" s="404"/>
      <c r="O55" s="405"/>
      <c r="P55" t="s">
        <v>262</v>
      </c>
    </row>
    <row r="56" spans="1:16">
      <c r="A56" s="1367" t="s">
        <v>62</v>
      </c>
      <c r="B56" s="259" t="s">
        <v>51</v>
      </c>
      <c r="C56" s="184"/>
      <c r="D56" s="129"/>
      <c r="E56" s="130"/>
      <c r="F56" s="130"/>
      <c r="G56" s="130"/>
      <c r="H56" s="91"/>
      <c r="I56" s="91"/>
      <c r="J56" s="91"/>
      <c r="K56" s="91"/>
      <c r="L56" s="91"/>
      <c r="M56" s="91"/>
      <c r="N56" s="283">
        <f>'Conv Weight Gained'!J10</f>
        <v>574.09500000000003</v>
      </c>
      <c r="O56" s="521">
        <f>N56+(N58*30.4)</f>
        <v>647.05500000000006</v>
      </c>
    </row>
    <row r="57" spans="1:16">
      <c r="A57" s="1368"/>
      <c r="B57" s="259" t="s">
        <v>52</v>
      </c>
      <c r="C57" s="185"/>
      <c r="D57" s="131"/>
      <c r="E57" s="132"/>
      <c r="F57" s="132"/>
      <c r="G57" s="132"/>
      <c r="H57" s="92"/>
      <c r="I57" s="92"/>
      <c r="J57" s="92"/>
      <c r="K57" s="92"/>
      <c r="L57" s="92"/>
      <c r="M57" s="92"/>
      <c r="N57" s="522">
        <f>N56/2.205</f>
        <v>260.36054421768711</v>
      </c>
      <c r="O57" s="523">
        <f>O56/2.205</f>
        <v>293.44897959183675</v>
      </c>
    </row>
    <row r="58" spans="1:16">
      <c r="A58" s="1368"/>
      <c r="B58" s="70" t="s">
        <v>59</v>
      </c>
      <c r="C58" s="185"/>
      <c r="D58" s="131"/>
      <c r="E58" s="132"/>
      <c r="F58" s="132"/>
      <c r="G58" s="132"/>
      <c r="H58" s="92"/>
      <c r="I58" s="92"/>
      <c r="J58" s="92"/>
      <c r="K58" s="92"/>
      <c r="L58" s="92"/>
      <c r="M58" s="92"/>
      <c r="N58" s="283">
        <f>'Conv Weight Gained'!E16</f>
        <v>2.4</v>
      </c>
      <c r="O58" s="523">
        <f>$N58</f>
        <v>2.4</v>
      </c>
    </row>
    <row r="59" spans="1:16">
      <c r="A59" s="1368"/>
      <c r="B59" s="70" t="s">
        <v>60</v>
      </c>
      <c r="C59" s="185"/>
      <c r="D59" s="131"/>
      <c r="E59" s="132"/>
      <c r="F59" s="132"/>
      <c r="G59" s="132"/>
      <c r="H59" s="92"/>
      <c r="I59" s="92"/>
      <c r="J59" s="92"/>
      <c r="K59" s="92"/>
      <c r="L59" s="92"/>
      <c r="M59" s="92"/>
      <c r="N59" s="524">
        <f>N58/2.205</f>
        <v>1.0884353741496597</v>
      </c>
      <c r="O59" s="525">
        <f>O58/2.205</f>
        <v>1.0884353741496597</v>
      </c>
    </row>
    <row r="60" spans="1:16" ht="16">
      <c r="A60" s="1368"/>
      <c r="B60" s="66" t="s">
        <v>68</v>
      </c>
      <c r="C60" s="180" t="s">
        <v>78</v>
      </c>
      <c r="D60" s="133"/>
      <c r="E60" s="134"/>
      <c r="F60" s="134"/>
      <c r="G60" s="134"/>
      <c r="H60" s="93"/>
      <c r="I60" s="93"/>
      <c r="J60" s="93"/>
      <c r="K60" s="93"/>
      <c r="L60" s="93"/>
      <c r="M60" s="93"/>
      <c r="N60" s="526">
        <f>N57^0.75*0.077</f>
        <v>4.9908222566788725</v>
      </c>
      <c r="O60" s="527">
        <f>O57^0.75*0.077</f>
        <v>5.459340446737361</v>
      </c>
    </row>
    <row r="61" spans="1:16" ht="16">
      <c r="A61" s="1409"/>
      <c r="B61" s="74" t="s">
        <v>71</v>
      </c>
      <c r="C61" s="185" t="s">
        <v>83</v>
      </c>
      <c r="D61" s="133"/>
      <c r="E61" s="134"/>
      <c r="F61" s="134"/>
      <c r="G61" s="134"/>
      <c r="H61" s="93"/>
      <c r="I61" s="93"/>
      <c r="J61" s="93"/>
      <c r="K61" s="93"/>
      <c r="L61" s="93"/>
      <c r="M61" s="93"/>
      <c r="N61" s="528">
        <f>N59^1.097*N57^0.75*0.0557</f>
        <v>3.9619507982265167</v>
      </c>
      <c r="O61" s="529">
        <f>O59^1.097*O57^0.75*0.0557</f>
        <v>4.3338827007505518</v>
      </c>
    </row>
    <row r="62" spans="1:16">
      <c r="A62" s="1390" t="s">
        <v>63</v>
      </c>
      <c r="B62" s="259" t="s">
        <v>51</v>
      </c>
      <c r="C62" s="185"/>
      <c r="D62" s="131"/>
      <c r="E62" s="132"/>
      <c r="F62" s="132"/>
      <c r="G62" s="132"/>
      <c r="H62" s="92"/>
      <c r="I62" s="92"/>
      <c r="J62" s="92"/>
      <c r="K62" s="92"/>
      <c r="L62" s="92"/>
      <c r="M62" s="92"/>
      <c r="N62" s="283">
        <f>'Conv Weight Gained'!U10</f>
        <v>526</v>
      </c>
      <c r="O62" s="523">
        <f>N62+(N64*30.4)</f>
        <v>583.76</v>
      </c>
    </row>
    <row r="63" spans="1:16">
      <c r="A63" s="1368"/>
      <c r="B63" s="259" t="s">
        <v>52</v>
      </c>
      <c r="C63" s="185"/>
      <c r="D63" s="131"/>
      <c r="E63" s="132"/>
      <c r="F63" s="132"/>
      <c r="G63" s="132"/>
      <c r="H63" s="92"/>
      <c r="I63" s="92"/>
      <c r="J63" s="92"/>
      <c r="K63" s="92"/>
      <c r="L63" s="92"/>
      <c r="M63" s="92"/>
      <c r="N63" s="522">
        <f>N62/2.205</f>
        <v>238.54875283446711</v>
      </c>
      <c r="O63" s="523">
        <f>O62/2.205</f>
        <v>264.7437641723356</v>
      </c>
    </row>
    <row r="64" spans="1:16">
      <c r="A64" s="1368"/>
      <c r="B64" s="70" t="s">
        <v>59</v>
      </c>
      <c r="C64" s="185"/>
      <c r="D64" s="131"/>
      <c r="E64" s="132"/>
      <c r="F64" s="132"/>
      <c r="G64" s="132"/>
      <c r="H64" s="92"/>
      <c r="I64" s="92"/>
      <c r="J64" s="92"/>
      <c r="K64" s="92"/>
      <c r="L64" s="92"/>
      <c r="M64" s="92"/>
      <c r="N64" s="283">
        <f>'Conv Weight Gained'!P16</f>
        <v>1.9</v>
      </c>
      <c r="O64" s="523">
        <f>$N64</f>
        <v>1.9</v>
      </c>
    </row>
    <row r="65" spans="1:15">
      <c r="A65" s="1368"/>
      <c r="B65" s="70" t="s">
        <v>60</v>
      </c>
      <c r="C65" s="185"/>
      <c r="D65" s="131"/>
      <c r="E65" s="132"/>
      <c r="F65" s="132"/>
      <c r="G65" s="132"/>
      <c r="H65" s="92"/>
      <c r="I65" s="92"/>
      <c r="J65" s="92"/>
      <c r="K65" s="92"/>
      <c r="L65" s="92"/>
      <c r="M65" s="92"/>
      <c r="N65" s="524">
        <f>N64/2.205</f>
        <v>0.86167800453514731</v>
      </c>
      <c r="O65" s="525">
        <f>O64/2.205</f>
        <v>0.86167800453514731</v>
      </c>
    </row>
    <row r="66" spans="1:15" ht="16">
      <c r="A66" s="1368"/>
      <c r="B66" s="66" t="s">
        <v>68</v>
      </c>
      <c r="C66" s="180" t="s">
        <v>78</v>
      </c>
      <c r="D66" s="133"/>
      <c r="E66" s="134"/>
      <c r="F66" s="134"/>
      <c r="G66" s="134"/>
      <c r="H66" s="93"/>
      <c r="I66" s="93"/>
      <c r="J66" s="93"/>
      <c r="K66" s="93"/>
      <c r="L66" s="93"/>
      <c r="M66" s="93"/>
      <c r="N66" s="526">
        <f>N63^0.75*0.077</f>
        <v>4.6738372758122457</v>
      </c>
      <c r="O66" s="527">
        <f>O63^0.75*0.077</f>
        <v>5.0537066583041481</v>
      </c>
    </row>
    <row r="67" spans="1:15" ht="17" thickBot="1">
      <c r="A67" s="1369"/>
      <c r="B67" s="75" t="s">
        <v>71</v>
      </c>
      <c r="C67" s="186" t="s">
        <v>81</v>
      </c>
      <c r="D67" s="135"/>
      <c r="E67" s="136"/>
      <c r="F67" s="136"/>
      <c r="G67" s="136"/>
      <c r="H67" s="94"/>
      <c r="I67" s="94"/>
      <c r="J67" s="94"/>
      <c r="K67" s="94"/>
      <c r="L67" s="94"/>
      <c r="M67" s="94"/>
      <c r="N67" s="530">
        <f>N65^1.119*N63^0.75*0.0686</f>
        <v>3.5249912352174997</v>
      </c>
      <c r="O67" s="531">
        <f>O65^1.119*O63^0.75*0.0686</f>
        <v>3.8114873549564421</v>
      </c>
    </row>
    <row r="68" spans="1:15">
      <c r="A68" s="1391" t="s">
        <v>40</v>
      </c>
      <c r="B68" s="259" t="s">
        <v>51</v>
      </c>
      <c r="C68" s="184"/>
      <c r="D68" s="126">
        <f>O68+O70*30.4</f>
        <v>571.59999999999991</v>
      </c>
      <c r="E68" s="127">
        <f t="shared" ref="E68:J68" si="31">D68+(D70*30.4)</f>
        <v>594.39999999999986</v>
      </c>
      <c r="F68" s="127">
        <f t="shared" si="31"/>
        <v>617.19999999999982</v>
      </c>
      <c r="G68" s="127">
        <f t="shared" si="31"/>
        <v>639.99999999999977</v>
      </c>
      <c r="H68" s="83">
        <f t="shared" si="31"/>
        <v>662.79999999999973</v>
      </c>
      <c r="I68" s="83">
        <f t="shared" si="31"/>
        <v>708.39999999999975</v>
      </c>
      <c r="J68" s="83">
        <f t="shared" si="31"/>
        <v>753.99999999999977</v>
      </c>
      <c r="K68" s="159"/>
      <c r="L68" s="159"/>
      <c r="M68" s="159"/>
      <c r="N68" s="226">
        <f>'Conv Weight Gained'!U10</f>
        <v>526</v>
      </c>
      <c r="O68" s="156">
        <f>N68+(N70*30.4)</f>
        <v>548.79999999999995</v>
      </c>
    </row>
    <row r="69" spans="1:15">
      <c r="A69" s="1392"/>
      <c r="B69" s="259" t="s">
        <v>52</v>
      </c>
      <c r="C69" s="185"/>
      <c r="D69" s="128">
        <f>D68/2.205</f>
        <v>259.22902494331061</v>
      </c>
      <c r="E69" s="111">
        <f t="shared" ref="E69:J69" si="32">E68/2.205</f>
        <v>269.56916099773235</v>
      </c>
      <c r="F69" s="111">
        <f t="shared" si="32"/>
        <v>279.9092970521541</v>
      </c>
      <c r="G69" s="111">
        <f t="shared" si="32"/>
        <v>290.24943310657585</v>
      </c>
      <c r="H69" s="84">
        <f t="shared" si="32"/>
        <v>300.5895691609976</v>
      </c>
      <c r="I69" s="84">
        <f t="shared" si="32"/>
        <v>321.26984126984115</v>
      </c>
      <c r="J69" s="84">
        <f t="shared" si="32"/>
        <v>341.9501133786847</v>
      </c>
      <c r="K69" s="158"/>
      <c r="L69" s="158"/>
      <c r="M69" s="158"/>
      <c r="N69" s="111">
        <f>N68/2.205</f>
        <v>238.54875283446711</v>
      </c>
      <c r="O69" s="145">
        <f>O68/2.205</f>
        <v>248.88888888888886</v>
      </c>
    </row>
    <row r="70" spans="1:15">
      <c r="A70" s="1392"/>
      <c r="B70" s="70" t="s">
        <v>59</v>
      </c>
      <c r="C70" s="187"/>
      <c r="D70" s="177">
        <v>0.75</v>
      </c>
      <c r="E70" s="111">
        <f>$D70</f>
        <v>0.75</v>
      </c>
      <c r="F70" s="111">
        <f>$D70</f>
        <v>0.75</v>
      </c>
      <c r="G70" s="111">
        <f>$D70</f>
        <v>0.75</v>
      </c>
      <c r="H70" s="210">
        <v>1.5</v>
      </c>
      <c r="I70" s="158">
        <f>$H70</f>
        <v>1.5</v>
      </c>
      <c r="J70" s="158">
        <f>$H70</f>
        <v>1.5</v>
      </c>
      <c r="K70" s="158"/>
      <c r="L70" s="158"/>
      <c r="M70" s="158"/>
      <c r="N70" s="226">
        <f>D70</f>
        <v>0.75</v>
      </c>
      <c r="O70" s="145">
        <f>$N70</f>
        <v>0.75</v>
      </c>
    </row>
    <row r="71" spans="1:15">
      <c r="A71" s="1392"/>
      <c r="B71" s="70" t="s">
        <v>60</v>
      </c>
      <c r="C71" s="185"/>
      <c r="D71" s="114">
        <f>D70/2.205</f>
        <v>0.3401360544217687</v>
      </c>
      <c r="E71" s="115">
        <f t="shared" ref="E71:J71" si="33">E70/2.205</f>
        <v>0.3401360544217687</v>
      </c>
      <c r="F71" s="115">
        <f t="shared" si="33"/>
        <v>0.3401360544217687</v>
      </c>
      <c r="G71" s="115">
        <f t="shared" si="33"/>
        <v>0.3401360544217687</v>
      </c>
      <c r="H71" s="86">
        <f t="shared" si="33"/>
        <v>0.68027210884353739</v>
      </c>
      <c r="I71" s="86">
        <f t="shared" si="33"/>
        <v>0.68027210884353739</v>
      </c>
      <c r="J71" s="86">
        <f t="shared" si="33"/>
        <v>0.68027210884353739</v>
      </c>
      <c r="K71" s="92"/>
      <c r="L71" s="92"/>
      <c r="M71" s="92"/>
      <c r="N71" s="115">
        <f>N70/2.205</f>
        <v>0.3401360544217687</v>
      </c>
      <c r="O71" s="146">
        <f>O70/2.205</f>
        <v>0.3401360544217687</v>
      </c>
    </row>
    <row r="72" spans="1:15" ht="16">
      <c r="A72" s="1392"/>
      <c r="B72" s="66" t="s">
        <v>68</v>
      </c>
      <c r="C72" s="180" t="s">
        <v>78</v>
      </c>
      <c r="D72" s="121">
        <f>D69^0.75*0.077</f>
        <v>4.9745459282381077</v>
      </c>
      <c r="E72" s="122">
        <f t="shared" ref="E72:J72" si="34">E69^0.75*0.077</f>
        <v>5.1226346216794498</v>
      </c>
      <c r="F72" s="122">
        <f t="shared" si="34"/>
        <v>5.2693096173124117</v>
      </c>
      <c r="G72" s="122">
        <f t="shared" si="34"/>
        <v>5.4146359239377508</v>
      </c>
      <c r="H72" s="88">
        <f t="shared" si="34"/>
        <v>5.5586733593682007</v>
      </c>
      <c r="I72" s="88">
        <f t="shared" si="34"/>
        <v>5.8430983213192231</v>
      </c>
      <c r="J72" s="88">
        <f t="shared" si="34"/>
        <v>6.1229792718896547</v>
      </c>
      <c r="K72" s="93"/>
      <c r="L72" s="93"/>
      <c r="M72" s="93"/>
      <c r="N72" s="122">
        <f>N69^0.75*0.077</f>
        <v>4.6738372758122457</v>
      </c>
      <c r="O72" s="154">
        <f>O69^0.75*0.077</f>
        <v>4.8249726602535272</v>
      </c>
    </row>
    <row r="73" spans="1:15" ht="17" thickBot="1">
      <c r="A73" s="1393"/>
      <c r="B73" s="75" t="s">
        <v>71</v>
      </c>
      <c r="C73" s="227" t="s">
        <v>81</v>
      </c>
      <c r="D73" s="124">
        <f>D71^1.119*D69^0.75*0.0686</f>
        <v>1.3258859627014405</v>
      </c>
      <c r="E73" s="125">
        <f t="shared" ref="E73:J73" si="35">E71^1.119*E69^0.75*0.0686</f>
        <v>1.3653566445890266</v>
      </c>
      <c r="F73" s="125">
        <f t="shared" si="35"/>
        <v>1.4044505278488237</v>
      </c>
      <c r="G73" s="125">
        <f t="shared" si="35"/>
        <v>1.4431849395409535</v>
      </c>
      <c r="H73" s="90">
        <f t="shared" si="35"/>
        <v>3.2179289254141672</v>
      </c>
      <c r="I73" s="90">
        <f t="shared" si="35"/>
        <v>3.3825831968563818</v>
      </c>
      <c r="J73" s="90">
        <f t="shared" si="35"/>
        <v>3.5446069295506466</v>
      </c>
      <c r="K73" s="94"/>
      <c r="L73" s="94"/>
      <c r="M73" s="94"/>
      <c r="N73" s="125">
        <f>N71^1.119*N69^0.75*0.0686</f>
        <v>1.2457368622878615</v>
      </c>
      <c r="O73" s="155">
        <f>O71^1.119*O69^0.75*0.0686</f>
        <v>1.2860195911215975</v>
      </c>
    </row>
    <row r="74" spans="1:15" s="208" customFormat="1" ht="15" thickBot="1">
      <c r="A74" s="221"/>
      <c r="B74" s="222"/>
      <c r="C74" s="223"/>
      <c r="D74" s="224"/>
      <c r="E74" s="224"/>
      <c r="F74" s="224"/>
      <c r="G74" s="224"/>
      <c r="H74" s="224"/>
      <c r="I74" s="224"/>
      <c r="J74" s="225"/>
      <c r="K74" s="225"/>
      <c r="L74" s="225"/>
      <c r="M74" s="225"/>
      <c r="N74" s="224"/>
      <c r="O74" s="224"/>
    </row>
    <row r="75" spans="1:15" ht="15" thickBot="1">
      <c r="A75" s="290" t="s">
        <v>88</v>
      </c>
      <c r="B75" s="71"/>
      <c r="C75" s="173"/>
      <c r="D75" s="190"/>
      <c r="E75" s="190"/>
      <c r="F75" s="190"/>
      <c r="G75" s="190"/>
      <c r="H75" s="190"/>
      <c r="I75" s="190"/>
      <c r="J75" s="190"/>
      <c r="K75" s="190"/>
      <c r="L75" s="190"/>
      <c r="M75" s="190"/>
      <c r="N75" s="190"/>
      <c r="O75" s="191"/>
    </row>
    <row r="76" spans="1:15" ht="16">
      <c r="A76" s="45" t="s">
        <v>85</v>
      </c>
      <c r="B76" s="66" t="s">
        <v>68</v>
      </c>
      <c r="C76" s="174" t="s">
        <v>90</v>
      </c>
      <c r="D76" s="188">
        <f>D16</f>
        <v>10.191424680833711</v>
      </c>
      <c r="E76" s="188">
        <f t="shared" ref="E76:N76" si="36">E16</f>
        <v>11.178734516971454</v>
      </c>
      <c r="F76" s="188">
        <f t="shared" si="36"/>
        <v>12.241405540101145</v>
      </c>
      <c r="G76" s="188">
        <f t="shared" si="36"/>
        <v>14.647641137902882</v>
      </c>
      <c r="H76" s="188">
        <f t="shared" si="36"/>
        <v>14.153587403388766</v>
      </c>
      <c r="I76" s="188">
        <f t="shared" si="36"/>
        <v>15.288495566654072</v>
      </c>
      <c r="J76" s="188">
        <f t="shared" si="36"/>
        <v>14.740557666716635</v>
      </c>
      <c r="K76" s="188">
        <f t="shared" si="36"/>
        <v>13.655161996499682</v>
      </c>
      <c r="L76" s="188">
        <f t="shared" si="36"/>
        <v>12.548124430773875</v>
      </c>
      <c r="M76" s="188">
        <f t="shared" si="36"/>
        <v>11.638445584024829</v>
      </c>
      <c r="N76" s="188">
        <f t="shared" si="36"/>
        <v>9.1739028731041401</v>
      </c>
      <c r="O76" s="192">
        <f>O16</f>
        <v>9.5264300742504116</v>
      </c>
    </row>
    <row r="77" spans="1:15" ht="16">
      <c r="A77" s="45" t="s">
        <v>86</v>
      </c>
      <c r="B77" s="66" t="s">
        <v>68</v>
      </c>
      <c r="C77" s="174" t="s">
        <v>90</v>
      </c>
      <c r="D77" s="188">
        <f>D19</f>
        <v>11.75949464414667</v>
      </c>
      <c r="E77" s="188">
        <f t="shared" ref="E77:N77" si="37">E19</f>
        <v>11.75949464414667</v>
      </c>
      <c r="F77" s="188">
        <f t="shared" si="37"/>
        <v>11.75949464414667</v>
      </c>
      <c r="G77" s="188">
        <f t="shared" si="37"/>
        <v>11.75949464414667</v>
      </c>
      <c r="H77" s="188">
        <f t="shared" si="37"/>
        <v>11.75949464414667</v>
      </c>
      <c r="I77" s="188">
        <f t="shared" si="37"/>
        <v>11.75949464414667</v>
      </c>
      <c r="J77" s="188">
        <f t="shared" si="37"/>
        <v>11.75949464414667</v>
      </c>
      <c r="K77" s="188">
        <f t="shared" si="37"/>
        <v>11.75949464414667</v>
      </c>
      <c r="L77" s="188">
        <f t="shared" si="37"/>
        <v>11.75949464414667</v>
      </c>
      <c r="M77" s="188">
        <f t="shared" si="37"/>
        <v>11.75949464414667</v>
      </c>
      <c r="N77" s="188">
        <f t="shared" si="37"/>
        <v>11.75949464414667</v>
      </c>
      <c r="O77" s="192">
        <f>O19</f>
        <v>11.75949464414667</v>
      </c>
    </row>
    <row r="78" spans="1:15" ht="16">
      <c r="A78" s="1388" t="s">
        <v>87</v>
      </c>
      <c r="B78" s="66" t="s">
        <v>68</v>
      </c>
      <c r="C78" s="174" t="s">
        <v>90</v>
      </c>
      <c r="D78" s="1"/>
      <c r="E78" s="1"/>
      <c r="F78" s="1"/>
      <c r="G78" s="188">
        <f>G24</f>
        <v>0.67727661110305837</v>
      </c>
      <c r="H78" s="188">
        <f>H24</f>
        <v>0.67727661110305837</v>
      </c>
      <c r="I78" s="188">
        <f t="shared" ref="I78:N79" si="38">I24</f>
        <v>0.67727661110305837</v>
      </c>
      <c r="J78" s="188">
        <f t="shared" si="38"/>
        <v>0.67727661110305837</v>
      </c>
      <c r="K78" s="188">
        <f t="shared" si="38"/>
        <v>0.67727661110305837</v>
      </c>
      <c r="L78" s="188">
        <f t="shared" si="38"/>
        <v>0.67727661110305837</v>
      </c>
      <c r="M78" s="188">
        <f t="shared" si="38"/>
        <v>0.67727661110305837</v>
      </c>
      <c r="N78" s="188">
        <f t="shared" si="38"/>
        <v>0</v>
      </c>
      <c r="O78" s="193"/>
    </row>
    <row r="79" spans="1:15" ht="16">
      <c r="A79" s="1389"/>
      <c r="B79" s="74" t="s">
        <v>71</v>
      </c>
      <c r="C79" s="174" t="s">
        <v>90</v>
      </c>
      <c r="D79" s="1"/>
      <c r="E79" s="1"/>
      <c r="F79" s="1"/>
      <c r="G79" s="198">
        <f>G25</f>
        <v>1.0784345169172416</v>
      </c>
      <c r="H79" s="198">
        <f>H25</f>
        <v>1.4264987112591911</v>
      </c>
      <c r="I79" s="198">
        <f t="shared" si="38"/>
        <v>1.8386360821622281</v>
      </c>
      <c r="J79" s="198">
        <f t="shared" si="38"/>
        <v>2.22178843124841</v>
      </c>
      <c r="K79" s="198">
        <f t="shared" si="38"/>
        <v>2.5839669605609621</v>
      </c>
      <c r="L79" s="198">
        <f t="shared" si="38"/>
        <v>2.9299033884153523</v>
      </c>
      <c r="M79" s="198">
        <f t="shared" si="38"/>
        <v>3.2626961914801744</v>
      </c>
      <c r="N79" s="198">
        <f t="shared" si="38"/>
        <v>0</v>
      </c>
      <c r="O79" s="193"/>
    </row>
    <row r="80" spans="1:15" ht="16">
      <c r="A80" s="1388" t="s">
        <v>84</v>
      </c>
      <c r="B80" s="66" t="s">
        <v>68</v>
      </c>
      <c r="C80" s="174" t="s">
        <v>90</v>
      </c>
      <c r="D80" s="1"/>
      <c r="E80" s="1"/>
      <c r="F80" s="1"/>
      <c r="G80" s="72">
        <f>G30</f>
        <v>0.49268159008489265</v>
      </c>
      <c r="H80" s="72">
        <f>H30</f>
        <v>0.49268159008489265</v>
      </c>
      <c r="I80" s="72">
        <f t="shared" ref="I80:N81" si="39">I30</f>
        <v>0.49268159008489265</v>
      </c>
      <c r="J80" s="72">
        <f t="shared" si="39"/>
        <v>0.49268159008489265</v>
      </c>
      <c r="K80" s="72">
        <f t="shared" si="39"/>
        <v>0.49268159008489265</v>
      </c>
      <c r="L80" s="72">
        <f t="shared" si="39"/>
        <v>0.49268159008489265</v>
      </c>
      <c r="M80" s="72">
        <f t="shared" si="39"/>
        <v>0.49268159008489265</v>
      </c>
      <c r="N80" s="72">
        <f t="shared" si="39"/>
        <v>0</v>
      </c>
      <c r="O80" s="193"/>
    </row>
    <row r="81" spans="1:15" ht="16">
      <c r="A81" s="1389"/>
      <c r="B81" s="74" t="s">
        <v>71</v>
      </c>
      <c r="C81" s="174" t="s">
        <v>90</v>
      </c>
      <c r="D81" s="1"/>
      <c r="E81" s="1"/>
      <c r="F81" s="1"/>
      <c r="G81" s="73">
        <f>G31</f>
        <v>1.1377391987763059</v>
      </c>
      <c r="H81" s="73">
        <f>H31</f>
        <v>1.5137354855157097</v>
      </c>
      <c r="I81" s="73">
        <f t="shared" si="39"/>
        <v>1.9582626390229254</v>
      </c>
      <c r="J81" s="73">
        <f t="shared" si="39"/>
        <v>2.3711488679372756</v>
      </c>
      <c r="K81" s="73">
        <f t="shared" si="39"/>
        <v>2.7612229351690001</v>
      </c>
      <c r="L81" s="73">
        <f t="shared" si="39"/>
        <v>3.1336709635955975</v>
      </c>
      <c r="M81" s="73">
        <f t="shared" si="39"/>
        <v>3.4918772325763503</v>
      </c>
      <c r="N81" s="73">
        <f t="shared" si="39"/>
        <v>0</v>
      </c>
      <c r="O81" s="193"/>
    </row>
    <row r="82" spans="1:15" ht="16">
      <c r="A82" s="1388" t="s">
        <v>93</v>
      </c>
      <c r="B82" s="66" t="s">
        <v>68</v>
      </c>
      <c r="C82" s="174" t="s">
        <v>90</v>
      </c>
      <c r="D82" s="188">
        <f>D36</f>
        <v>0</v>
      </c>
      <c r="E82" s="188">
        <f t="shared" ref="E82:O83" si="40">E36</f>
        <v>0</v>
      </c>
      <c r="F82" s="188">
        <f t="shared" si="40"/>
        <v>0</v>
      </c>
      <c r="G82" s="188">
        <f t="shared" si="40"/>
        <v>0</v>
      </c>
      <c r="H82" s="188">
        <f t="shared" si="40"/>
        <v>0</v>
      </c>
      <c r="I82" s="188">
        <f t="shared" si="40"/>
        <v>0</v>
      </c>
      <c r="J82" s="188">
        <f t="shared" si="40"/>
        <v>0</v>
      </c>
      <c r="K82" s="188">
        <f t="shared" si="40"/>
        <v>0</v>
      </c>
      <c r="L82" s="188">
        <f t="shared" si="40"/>
        <v>0</v>
      </c>
      <c r="M82" s="188">
        <f t="shared" si="40"/>
        <v>0</v>
      </c>
      <c r="N82" s="188">
        <f t="shared" si="40"/>
        <v>0</v>
      </c>
      <c r="O82" s="192">
        <f t="shared" si="40"/>
        <v>0</v>
      </c>
    </row>
    <row r="83" spans="1:15" ht="16">
      <c r="A83" s="1389"/>
      <c r="B83" s="74" t="s">
        <v>71</v>
      </c>
      <c r="C83" s="174" t="s">
        <v>90</v>
      </c>
      <c r="D83" s="189">
        <f>D37</f>
        <v>0</v>
      </c>
      <c r="E83" s="189">
        <f t="shared" si="40"/>
        <v>0</v>
      </c>
      <c r="F83" s="189">
        <f t="shared" si="40"/>
        <v>0</v>
      </c>
      <c r="G83" s="189">
        <f t="shared" si="40"/>
        <v>0</v>
      </c>
      <c r="H83" s="189">
        <f t="shared" si="40"/>
        <v>0</v>
      </c>
      <c r="I83" s="189">
        <f t="shared" si="40"/>
        <v>0</v>
      </c>
      <c r="J83" s="189">
        <f t="shared" si="40"/>
        <v>0</v>
      </c>
      <c r="K83" s="189">
        <f t="shared" si="40"/>
        <v>0</v>
      </c>
      <c r="L83" s="189">
        <f t="shared" si="40"/>
        <v>0</v>
      </c>
      <c r="M83" s="189">
        <f t="shared" si="40"/>
        <v>0</v>
      </c>
      <c r="N83" s="189">
        <f t="shared" si="40"/>
        <v>0</v>
      </c>
      <c r="O83" s="194">
        <f t="shared" si="40"/>
        <v>0</v>
      </c>
    </row>
    <row r="84" spans="1:15" ht="16">
      <c r="A84" s="1388" t="s">
        <v>94</v>
      </c>
      <c r="B84" s="66" t="s">
        <v>68</v>
      </c>
      <c r="C84" s="174" t="s">
        <v>90</v>
      </c>
      <c r="D84" s="189">
        <f>D48</f>
        <v>5.9148050898358262</v>
      </c>
      <c r="E84" s="189">
        <f t="shared" ref="E84:O85" si="41">E48</f>
        <v>6.3588547009085996</v>
      </c>
      <c r="F84" s="189">
        <f t="shared" si="41"/>
        <v>6.9531317270970119</v>
      </c>
      <c r="G84" s="189">
        <f t="shared" si="41"/>
        <v>7.5309173992471008</v>
      </c>
      <c r="H84" s="189">
        <f t="shared" si="41"/>
        <v>8.0942743055585282</v>
      </c>
      <c r="I84" s="189">
        <f t="shared" si="41"/>
        <v>8.6448424143612748</v>
      </c>
      <c r="J84" s="189">
        <f t="shared" si="41"/>
        <v>9.1839538305488908</v>
      </c>
      <c r="K84" s="189">
        <f t="shared" si="41"/>
        <v>0</v>
      </c>
      <c r="L84" s="189">
        <f t="shared" si="41"/>
        <v>0</v>
      </c>
      <c r="M84" s="189">
        <f t="shared" si="41"/>
        <v>0</v>
      </c>
      <c r="N84" s="189">
        <f t="shared" si="41"/>
        <v>0</v>
      </c>
      <c r="O84" s="194">
        <f t="shared" si="41"/>
        <v>0</v>
      </c>
    </row>
    <row r="85" spans="1:15" ht="16">
      <c r="A85" s="1389"/>
      <c r="B85" s="74" t="s">
        <v>71</v>
      </c>
      <c r="C85" s="174" t="s">
        <v>90</v>
      </c>
      <c r="D85" s="189">
        <f>D49</f>
        <v>4.6954520801996082</v>
      </c>
      <c r="E85" s="189">
        <f t="shared" si="41"/>
        <v>7.1586962642500254</v>
      </c>
      <c r="F85" s="189">
        <f t="shared" si="41"/>
        <v>7.8277237742978212</v>
      </c>
      <c r="G85" s="189">
        <f t="shared" si="41"/>
        <v>8.4781855834294273</v>
      </c>
      <c r="H85" s="189">
        <f t="shared" si="41"/>
        <v>9.1124037202386905</v>
      </c>
      <c r="I85" s="189">
        <f t="shared" si="41"/>
        <v>9.7322244346730447</v>
      </c>
      <c r="J85" s="189">
        <f t="shared" si="41"/>
        <v>10.339147388978853</v>
      </c>
      <c r="K85" s="189">
        <f t="shared" si="41"/>
        <v>0</v>
      </c>
      <c r="L85" s="189">
        <f t="shared" si="41"/>
        <v>0</v>
      </c>
      <c r="M85" s="189">
        <f t="shared" si="41"/>
        <v>0</v>
      </c>
      <c r="N85" s="189">
        <f t="shared" si="41"/>
        <v>0</v>
      </c>
      <c r="O85" s="194">
        <f t="shared" si="41"/>
        <v>0</v>
      </c>
    </row>
    <row r="86" spans="1:15" ht="16">
      <c r="A86" s="1388" t="s">
        <v>95</v>
      </c>
      <c r="B86" s="66" t="s">
        <v>68</v>
      </c>
      <c r="C86" s="174" t="s">
        <v>90</v>
      </c>
      <c r="D86" s="189">
        <f>D60</f>
        <v>0</v>
      </c>
      <c r="E86" s="189">
        <f t="shared" ref="E86:O87" si="42">E60</f>
        <v>0</v>
      </c>
      <c r="F86" s="189">
        <f t="shared" si="42"/>
        <v>0</v>
      </c>
      <c r="G86" s="189">
        <f t="shared" si="42"/>
        <v>0</v>
      </c>
      <c r="H86" s="189">
        <f t="shared" si="42"/>
        <v>0</v>
      </c>
      <c r="I86" s="189">
        <f t="shared" si="42"/>
        <v>0</v>
      </c>
      <c r="J86" s="189">
        <f t="shared" si="42"/>
        <v>0</v>
      </c>
      <c r="K86" s="189">
        <f t="shared" si="42"/>
        <v>0</v>
      </c>
      <c r="L86" s="189">
        <f t="shared" si="42"/>
        <v>0</v>
      </c>
      <c r="M86" s="189">
        <f t="shared" si="42"/>
        <v>0</v>
      </c>
      <c r="N86" s="189">
        <f t="shared" si="42"/>
        <v>4.9908222566788725</v>
      </c>
      <c r="O86" s="194">
        <f t="shared" si="42"/>
        <v>5.459340446737361</v>
      </c>
    </row>
    <row r="87" spans="1:15" ht="16">
      <c r="A87" s="1389"/>
      <c r="B87" s="74" t="s">
        <v>71</v>
      </c>
      <c r="C87" s="174" t="s">
        <v>90</v>
      </c>
      <c r="D87" s="189">
        <f>D61</f>
        <v>0</v>
      </c>
      <c r="E87" s="189">
        <f t="shared" si="42"/>
        <v>0</v>
      </c>
      <c r="F87" s="189">
        <f t="shared" si="42"/>
        <v>0</v>
      </c>
      <c r="G87" s="189">
        <f t="shared" si="42"/>
        <v>0</v>
      </c>
      <c r="H87" s="189">
        <f t="shared" si="42"/>
        <v>0</v>
      </c>
      <c r="I87" s="189">
        <f t="shared" si="42"/>
        <v>0</v>
      </c>
      <c r="J87" s="189">
        <f t="shared" si="42"/>
        <v>0</v>
      </c>
      <c r="K87" s="189">
        <f t="shared" si="42"/>
        <v>0</v>
      </c>
      <c r="L87" s="189">
        <f t="shared" si="42"/>
        <v>0</v>
      </c>
      <c r="M87" s="189">
        <f t="shared" si="42"/>
        <v>0</v>
      </c>
      <c r="N87" s="189">
        <f t="shared" si="42"/>
        <v>3.9619507982265167</v>
      </c>
      <c r="O87" s="194">
        <f t="shared" si="42"/>
        <v>4.3338827007505518</v>
      </c>
    </row>
    <row r="88" spans="1:15" ht="16">
      <c r="A88" s="1388" t="s">
        <v>96</v>
      </c>
      <c r="B88" s="66" t="s">
        <v>68</v>
      </c>
      <c r="C88" s="174" t="s">
        <v>90</v>
      </c>
      <c r="D88" s="189">
        <f>D42</f>
        <v>0</v>
      </c>
      <c r="E88" s="189">
        <f t="shared" ref="E88:O89" si="43">E42</f>
        <v>0</v>
      </c>
      <c r="F88" s="189">
        <f t="shared" si="43"/>
        <v>0</v>
      </c>
      <c r="G88" s="189">
        <f t="shared" si="43"/>
        <v>0</v>
      </c>
      <c r="H88" s="189">
        <f t="shared" si="43"/>
        <v>0</v>
      </c>
      <c r="I88" s="189">
        <f t="shared" si="43"/>
        <v>0</v>
      </c>
      <c r="J88" s="189">
        <f t="shared" si="43"/>
        <v>0</v>
      </c>
      <c r="K88" s="189">
        <f t="shared" si="43"/>
        <v>0</v>
      </c>
      <c r="L88" s="189">
        <f t="shared" si="43"/>
        <v>0</v>
      </c>
      <c r="M88" s="189">
        <f t="shared" si="43"/>
        <v>0</v>
      </c>
      <c r="N88" s="189">
        <f t="shared" si="43"/>
        <v>0</v>
      </c>
      <c r="O88" s="194">
        <f t="shared" si="43"/>
        <v>0</v>
      </c>
    </row>
    <row r="89" spans="1:15" ht="16">
      <c r="A89" s="1389"/>
      <c r="B89" s="74" t="s">
        <v>71</v>
      </c>
      <c r="C89" s="174" t="s">
        <v>90</v>
      </c>
      <c r="D89" s="189">
        <f>D43</f>
        <v>0</v>
      </c>
      <c r="E89" s="189">
        <f t="shared" si="43"/>
        <v>0</v>
      </c>
      <c r="F89" s="189">
        <f t="shared" si="43"/>
        <v>0</v>
      </c>
      <c r="G89" s="189">
        <f t="shared" si="43"/>
        <v>0</v>
      </c>
      <c r="H89" s="189">
        <f t="shared" si="43"/>
        <v>0</v>
      </c>
      <c r="I89" s="189">
        <f t="shared" si="43"/>
        <v>0</v>
      </c>
      <c r="J89" s="189">
        <f t="shared" si="43"/>
        <v>0</v>
      </c>
      <c r="K89" s="189">
        <f t="shared" si="43"/>
        <v>0</v>
      </c>
      <c r="L89" s="189">
        <f t="shared" si="43"/>
        <v>0</v>
      </c>
      <c r="M89" s="189">
        <f t="shared" si="43"/>
        <v>0</v>
      </c>
      <c r="N89" s="189">
        <f t="shared" si="43"/>
        <v>0</v>
      </c>
      <c r="O89" s="194">
        <f t="shared" si="43"/>
        <v>0</v>
      </c>
    </row>
    <row r="90" spans="1:15" ht="16">
      <c r="A90" s="1388" t="s">
        <v>97</v>
      </c>
      <c r="B90" s="66" t="s">
        <v>68</v>
      </c>
      <c r="C90" s="174" t="s">
        <v>90</v>
      </c>
      <c r="D90" s="189">
        <f>D54</f>
        <v>5.4242778837009569</v>
      </c>
      <c r="E90" s="189">
        <f t="shared" ref="E90:O91" si="44">E54</f>
        <v>5.7865886417324761</v>
      </c>
      <c r="F90" s="189">
        <f t="shared" si="44"/>
        <v>6.3383531648816192</v>
      </c>
      <c r="G90" s="189">
        <f t="shared" si="44"/>
        <v>6.874529497520772</v>
      </c>
      <c r="H90" s="189">
        <f t="shared" si="44"/>
        <v>7.3970990032744979</v>
      </c>
      <c r="I90" s="189">
        <f t="shared" si="44"/>
        <v>7.9076310555479781</v>
      </c>
      <c r="J90" s="189">
        <f t="shared" si="44"/>
        <v>8.4073964275315678</v>
      </c>
      <c r="K90" s="189">
        <f t="shared" si="44"/>
        <v>0</v>
      </c>
      <c r="L90" s="189">
        <f t="shared" si="44"/>
        <v>0</v>
      </c>
      <c r="M90" s="189">
        <f t="shared" si="44"/>
        <v>0</v>
      </c>
      <c r="N90" s="189">
        <f t="shared" si="44"/>
        <v>0</v>
      </c>
      <c r="O90" s="194">
        <f t="shared" si="44"/>
        <v>0</v>
      </c>
    </row>
    <row r="91" spans="1:15" ht="16">
      <c r="A91" s="1389"/>
      <c r="B91" s="74" t="s">
        <v>71</v>
      </c>
      <c r="C91" s="174" t="s">
        <v>90</v>
      </c>
      <c r="D91" s="189">
        <f>D55</f>
        <v>4.0909708381122716</v>
      </c>
      <c r="E91" s="189">
        <f t="shared" si="44"/>
        <v>6.3764023719222509</v>
      </c>
      <c r="F91" s="189">
        <f t="shared" si="44"/>
        <v>6.9844069894921263</v>
      </c>
      <c r="G91" s="189">
        <f t="shared" si="44"/>
        <v>7.5752345479869829</v>
      </c>
      <c r="H91" s="189">
        <f t="shared" si="44"/>
        <v>8.1510683668887314</v>
      </c>
      <c r="I91" s="189">
        <f t="shared" si="44"/>
        <v>8.7136377822402107</v>
      </c>
      <c r="J91" s="189">
        <f t="shared" si="44"/>
        <v>9.2643430942332703</v>
      </c>
      <c r="K91" s="189">
        <f t="shared" si="44"/>
        <v>0</v>
      </c>
      <c r="L91" s="189">
        <f t="shared" si="44"/>
        <v>0</v>
      </c>
      <c r="M91" s="189">
        <f t="shared" si="44"/>
        <v>0</v>
      </c>
      <c r="N91" s="189">
        <f t="shared" si="44"/>
        <v>0</v>
      </c>
      <c r="O91" s="194">
        <f t="shared" si="44"/>
        <v>0</v>
      </c>
    </row>
    <row r="92" spans="1:15" ht="16">
      <c r="A92" s="1388" t="s">
        <v>98</v>
      </c>
      <c r="B92" s="66" t="s">
        <v>68</v>
      </c>
      <c r="C92" s="174" t="s">
        <v>90</v>
      </c>
      <c r="D92" s="189">
        <f>D66</f>
        <v>0</v>
      </c>
      <c r="E92" s="189">
        <f t="shared" ref="E92:O93" si="45">E66</f>
        <v>0</v>
      </c>
      <c r="F92" s="189">
        <f t="shared" si="45"/>
        <v>0</v>
      </c>
      <c r="G92" s="189">
        <f t="shared" si="45"/>
        <v>0</v>
      </c>
      <c r="H92" s="189">
        <f t="shared" si="45"/>
        <v>0</v>
      </c>
      <c r="I92" s="189">
        <f t="shared" si="45"/>
        <v>0</v>
      </c>
      <c r="J92" s="189">
        <f t="shared" si="45"/>
        <v>0</v>
      </c>
      <c r="K92" s="189">
        <f t="shared" si="45"/>
        <v>0</v>
      </c>
      <c r="L92" s="189">
        <f t="shared" si="45"/>
        <v>0</v>
      </c>
      <c r="M92" s="189">
        <f t="shared" si="45"/>
        <v>0</v>
      </c>
      <c r="N92" s="189">
        <f t="shared" si="45"/>
        <v>4.6738372758122457</v>
      </c>
      <c r="O92" s="194">
        <f t="shared" si="45"/>
        <v>5.0537066583041481</v>
      </c>
    </row>
    <row r="93" spans="1:15" ht="16">
      <c r="A93" s="1389"/>
      <c r="B93" s="74" t="s">
        <v>71</v>
      </c>
      <c r="C93" s="174" t="s">
        <v>90</v>
      </c>
      <c r="D93" s="189">
        <f>D67</f>
        <v>0</v>
      </c>
      <c r="E93" s="189">
        <f t="shared" si="45"/>
        <v>0</v>
      </c>
      <c r="F93" s="189">
        <f t="shared" si="45"/>
        <v>0</v>
      </c>
      <c r="G93" s="189">
        <f t="shared" si="45"/>
        <v>0</v>
      </c>
      <c r="H93" s="189">
        <f t="shared" si="45"/>
        <v>0</v>
      </c>
      <c r="I93" s="189">
        <f t="shared" si="45"/>
        <v>0</v>
      </c>
      <c r="J93" s="189">
        <f t="shared" si="45"/>
        <v>0</v>
      </c>
      <c r="K93" s="189">
        <f t="shared" si="45"/>
        <v>0</v>
      </c>
      <c r="L93" s="189">
        <f t="shared" si="45"/>
        <v>0</v>
      </c>
      <c r="M93" s="189">
        <f t="shared" si="45"/>
        <v>0</v>
      </c>
      <c r="N93" s="189">
        <f t="shared" si="45"/>
        <v>3.5249912352174997</v>
      </c>
      <c r="O93" s="194">
        <f t="shared" si="45"/>
        <v>3.8114873549564421</v>
      </c>
    </row>
    <row r="94" spans="1:15" ht="16">
      <c r="A94" s="1388" t="s">
        <v>40</v>
      </c>
      <c r="B94" s="66" t="s">
        <v>68</v>
      </c>
      <c r="C94" s="174" t="s">
        <v>90</v>
      </c>
      <c r="D94" s="200">
        <f>D72</f>
        <v>4.9745459282381077</v>
      </c>
      <c r="E94" s="200">
        <f t="shared" ref="E94:O95" si="46">E72</f>
        <v>5.1226346216794498</v>
      </c>
      <c r="F94" s="200">
        <f t="shared" si="46"/>
        <v>5.2693096173124117</v>
      </c>
      <c r="G94" s="200">
        <f t="shared" si="46"/>
        <v>5.4146359239377508</v>
      </c>
      <c r="H94" s="200">
        <f t="shared" si="46"/>
        <v>5.5586733593682007</v>
      </c>
      <c r="I94" s="200">
        <f t="shared" si="46"/>
        <v>5.8430983213192231</v>
      </c>
      <c r="J94" s="200">
        <f t="shared" si="46"/>
        <v>6.1229792718896547</v>
      </c>
      <c r="K94" s="200">
        <f t="shared" si="46"/>
        <v>0</v>
      </c>
      <c r="L94" s="200">
        <f t="shared" si="46"/>
        <v>0</v>
      </c>
      <c r="M94" s="200">
        <f t="shared" si="46"/>
        <v>0</v>
      </c>
      <c r="N94" s="200">
        <f t="shared" si="46"/>
        <v>4.6738372758122457</v>
      </c>
      <c r="O94" s="203">
        <f t="shared" si="46"/>
        <v>4.8249726602535272</v>
      </c>
    </row>
    <row r="95" spans="1:15" ht="17" thickBot="1">
      <c r="A95" s="1410"/>
      <c r="B95" s="75" t="s">
        <v>71</v>
      </c>
      <c r="C95" s="216" t="s">
        <v>90</v>
      </c>
      <c r="D95" s="196">
        <f>D73</f>
        <v>1.3258859627014405</v>
      </c>
      <c r="E95" s="196">
        <f t="shared" si="46"/>
        <v>1.3653566445890266</v>
      </c>
      <c r="F95" s="196">
        <f t="shared" si="46"/>
        <v>1.4044505278488237</v>
      </c>
      <c r="G95" s="196">
        <f t="shared" si="46"/>
        <v>1.4431849395409535</v>
      </c>
      <c r="H95" s="196">
        <f t="shared" si="46"/>
        <v>3.2179289254141672</v>
      </c>
      <c r="I95" s="196">
        <f t="shared" si="46"/>
        <v>3.3825831968563818</v>
      </c>
      <c r="J95" s="196">
        <f t="shared" si="46"/>
        <v>3.5446069295506466</v>
      </c>
      <c r="K95" s="196">
        <f t="shared" si="46"/>
        <v>0</v>
      </c>
      <c r="L95" s="196">
        <f t="shared" si="46"/>
        <v>0</v>
      </c>
      <c r="M95" s="196">
        <f t="shared" si="46"/>
        <v>0</v>
      </c>
      <c r="N95" s="196">
        <f t="shared" si="46"/>
        <v>1.2457368622878615</v>
      </c>
      <c r="O95" s="197">
        <f t="shared" si="46"/>
        <v>1.2860195911215975</v>
      </c>
    </row>
    <row r="96" spans="1:15" ht="16">
      <c r="A96" s="205" t="s">
        <v>89</v>
      </c>
      <c r="B96" s="217" t="s">
        <v>68</v>
      </c>
      <c r="C96" s="173" t="s">
        <v>90</v>
      </c>
      <c r="D96" s="218">
        <f>SUM(D76,D77,D78,D80,D82,D84,D86,D90,D92,D88,D94)</f>
        <v>38.264548226755274</v>
      </c>
      <c r="E96" s="218">
        <f t="shared" ref="E96:O96" si="47">SUM(E76,E77,E78,E80,E82,E84,E86,E90,E92,E88,E94)</f>
        <v>40.206307125438656</v>
      </c>
      <c r="F96" s="218">
        <f t="shared" si="47"/>
        <v>42.561694693538854</v>
      </c>
      <c r="G96" s="218">
        <f t="shared" si="47"/>
        <v>47.397176803943125</v>
      </c>
      <c r="H96" s="218">
        <f t="shared" si="47"/>
        <v>48.133086916924611</v>
      </c>
      <c r="I96" s="218">
        <f t="shared" si="47"/>
        <v>50.61352020321717</v>
      </c>
      <c r="J96" s="218">
        <f t="shared" si="47"/>
        <v>51.384340042021364</v>
      </c>
      <c r="K96" s="218">
        <f t="shared" si="47"/>
        <v>26.584614841834302</v>
      </c>
      <c r="L96" s="218">
        <f t="shared" si="47"/>
        <v>25.477577276108494</v>
      </c>
      <c r="M96" s="218">
        <f t="shared" si="47"/>
        <v>24.567898429359449</v>
      </c>
      <c r="N96" s="218">
        <f t="shared" si="47"/>
        <v>35.271894325554172</v>
      </c>
      <c r="O96" s="219">
        <f t="shared" si="47"/>
        <v>36.623944483692121</v>
      </c>
    </row>
    <row r="97" spans="1:16" ht="17" thickBot="1">
      <c r="A97" s="18"/>
      <c r="B97" s="75" t="s">
        <v>71</v>
      </c>
      <c r="C97" s="195" t="s">
        <v>90</v>
      </c>
      <c r="D97" s="196">
        <f>SUM(D79,D81,D83,D87,D85,D91,D93,D89,D95)</f>
        <v>10.11230888101332</v>
      </c>
      <c r="E97" s="196">
        <f t="shared" ref="E97:O97" si="48">SUM(E79,E81,E83,E87,E85,E91,E93,E89,E95)</f>
        <v>14.900455280761301</v>
      </c>
      <c r="F97" s="196">
        <f t="shared" si="48"/>
        <v>16.216581291638771</v>
      </c>
      <c r="G97" s="196">
        <f t="shared" si="48"/>
        <v>19.712778786650912</v>
      </c>
      <c r="H97" s="196">
        <f t="shared" si="48"/>
        <v>23.421635209316488</v>
      </c>
      <c r="I97" s="196">
        <f t="shared" si="48"/>
        <v>25.625344134954787</v>
      </c>
      <c r="J97" s="196">
        <f t="shared" si="48"/>
        <v>27.741034711948455</v>
      </c>
      <c r="K97" s="196">
        <f t="shared" si="48"/>
        <v>5.3451898957299626</v>
      </c>
      <c r="L97" s="196">
        <f t="shared" si="48"/>
        <v>6.0635743520109493</v>
      </c>
      <c r="M97" s="196">
        <f t="shared" si="48"/>
        <v>6.7545734240565247</v>
      </c>
      <c r="N97" s="196">
        <f t="shared" si="48"/>
        <v>8.7326788957318779</v>
      </c>
      <c r="O97" s="197">
        <f t="shared" si="48"/>
        <v>9.4313896468285918</v>
      </c>
    </row>
    <row r="98" spans="1:16" ht="15" thickBot="1"/>
    <row r="99" spans="1:16" ht="15" thickBot="1">
      <c r="A99" s="291" t="s">
        <v>91</v>
      </c>
      <c r="B99" s="206"/>
      <c r="C99" s="300" t="s">
        <v>152</v>
      </c>
      <c r="D99" s="300"/>
      <c r="E99" s="300"/>
      <c r="F99" s="300"/>
      <c r="G99" s="300"/>
      <c r="H99" s="300"/>
      <c r="I99" s="13"/>
      <c r="J99" s="13"/>
      <c r="K99" s="13"/>
      <c r="L99" s="13"/>
      <c r="M99" s="13"/>
      <c r="N99" s="298"/>
      <c r="O99" s="299"/>
    </row>
    <row r="100" spans="1:16">
      <c r="A100" s="285" t="s">
        <v>144</v>
      </c>
      <c r="B100" s="22"/>
      <c r="C100" s="1"/>
      <c r="D100" s="1376" t="s">
        <v>147</v>
      </c>
      <c r="E100" s="1376"/>
      <c r="F100" s="1376"/>
      <c r="G100" s="1376"/>
      <c r="H100" s="1376" t="s">
        <v>148</v>
      </c>
      <c r="I100" s="1376"/>
      <c r="J100" s="1376"/>
      <c r="K100" s="1376"/>
      <c r="L100" s="1376"/>
      <c r="M100" s="1376"/>
      <c r="N100" s="1377" t="s">
        <v>147</v>
      </c>
      <c r="O100" s="1378"/>
      <c r="P100" s="63"/>
    </row>
    <row r="101" spans="1:16">
      <c r="A101" s="1" t="s">
        <v>142</v>
      </c>
      <c r="B101" s="22"/>
      <c r="C101" s="1"/>
      <c r="D101" s="215">
        <v>0.55000000000000004</v>
      </c>
      <c r="E101" s="1"/>
      <c r="F101" s="1"/>
      <c r="G101" s="1"/>
      <c r="H101" s="215">
        <v>0.68</v>
      </c>
      <c r="I101" s="1"/>
      <c r="J101" s="1"/>
      <c r="K101" s="1"/>
      <c r="L101" s="1"/>
      <c r="M101" s="1"/>
      <c r="N101" s="215">
        <f>D101</f>
        <v>0.55000000000000004</v>
      </c>
      <c r="O101" s="193"/>
      <c r="P101" s="63"/>
    </row>
    <row r="102" spans="1:16">
      <c r="A102" s="1" t="s">
        <v>181</v>
      </c>
      <c r="B102" s="22"/>
      <c r="C102" s="1"/>
      <c r="D102" s="215">
        <v>0.16</v>
      </c>
      <c r="E102" s="1"/>
      <c r="F102" s="1"/>
      <c r="G102" s="1"/>
      <c r="H102" s="215">
        <v>0.21</v>
      </c>
      <c r="I102" s="1"/>
      <c r="J102" s="1"/>
      <c r="K102" s="1"/>
      <c r="L102" s="1"/>
      <c r="M102" s="1"/>
      <c r="N102" s="215"/>
      <c r="O102" s="193"/>
      <c r="P102" s="63"/>
    </row>
    <row r="103" spans="1:16">
      <c r="A103" s="1" t="s">
        <v>182</v>
      </c>
      <c r="B103" s="22"/>
      <c r="C103" s="1"/>
      <c r="D103" s="215">
        <v>8.5000000000000006E-2</v>
      </c>
      <c r="E103" s="1"/>
      <c r="F103" s="1"/>
      <c r="G103" s="1"/>
      <c r="H103" s="215"/>
      <c r="I103" s="1"/>
      <c r="J103" s="1"/>
      <c r="K103" s="1"/>
      <c r="L103" s="1"/>
      <c r="M103" s="1"/>
      <c r="N103" s="215"/>
      <c r="O103" s="193"/>
      <c r="P103" s="63"/>
    </row>
    <row r="104" spans="1:16">
      <c r="A104" s="1" t="s">
        <v>183</v>
      </c>
      <c r="B104" s="22"/>
      <c r="C104" s="1"/>
      <c r="D104" s="215">
        <v>2.5000000000000001E-3</v>
      </c>
      <c r="E104" s="1"/>
      <c r="F104" s="1"/>
      <c r="G104" s="1"/>
      <c r="H104" s="215">
        <v>3.5999999999999999E-3</v>
      </c>
      <c r="I104" s="1"/>
      <c r="J104" s="1"/>
      <c r="K104" s="1"/>
      <c r="L104" s="1"/>
      <c r="M104" s="1"/>
      <c r="N104" s="215"/>
      <c r="O104" s="193"/>
      <c r="P104" s="63"/>
    </row>
    <row r="105" spans="1:16" ht="16">
      <c r="A105" s="1379" t="s">
        <v>145</v>
      </c>
      <c r="B105" s="66" t="s">
        <v>68</v>
      </c>
      <c r="C105" s="1" t="s">
        <v>149</v>
      </c>
      <c r="D105" s="215">
        <v>1.19</v>
      </c>
      <c r="E105" s="1">
        <f>D105</f>
        <v>1.19</v>
      </c>
      <c r="F105" s="1">
        <f t="shared" ref="F105:G108" si="49">E105</f>
        <v>1.19</v>
      </c>
      <c r="G105" s="1">
        <f t="shared" si="49"/>
        <v>1.19</v>
      </c>
      <c r="H105" s="215">
        <v>1.52</v>
      </c>
      <c r="I105" s="1">
        <f>H105</f>
        <v>1.52</v>
      </c>
      <c r="J105" s="1">
        <f t="shared" ref="J105:M108" si="50">I105</f>
        <v>1.52</v>
      </c>
      <c r="K105" s="1">
        <f t="shared" si="50"/>
        <v>1.52</v>
      </c>
      <c r="L105" s="1">
        <f t="shared" si="50"/>
        <v>1.52</v>
      </c>
      <c r="M105" s="1">
        <f t="shared" si="50"/>
        <v>1.52</v>
      </c>
      <c r="N105" s="215">
        <f>G105</f>
        <v>1.19</v>
      </c>
      <c r="O105" s="193">
        <f>N105</f>
        <v>1.19</v>
      </c>
      <c r="P105" s="63"/>
    </row>
    <row r="106" spans="1:16" ht="16">
      <c r="A106" s="1379"/>
      <c r="B106" s="74" t="s">
        <v>71</v>
      </c>
      <c r="C106" s="1" t="s">
        <v>149</v>
      </c>
      <c r="D106" s="215">
        <v>0.47</v>
      </c>
      <c r="E106" s="1">
        <f>D106</f>
        <v>0.47</v>
      </c>
      <c r="F106" s="1">
        <f t="shared" si="49"/>
        <v>0.47</v>
      </c>
      <c r="G106" s="1">
        <f t="shared" si="49"/>
        <v>0.47</v>
      </c>
      <c r="H106" s="215">
        <v>0.91</v>
      </c>
      <c r="I106" s="1">
        <f>H106</f>
        <v>0.91</v>
      </c>
      <c r="J106" s="1">
        <f t="shared" si="50"/>
        <v>0.91</v>
      </c>
      <c r="K106" s="1">
        <f t="shared" si="50"/>
        <v>0.91</v>
      </c>
      <c r="L106" s="1">
        <f t="shared" si="50"/>
        <v>0.91</v>
      </c>
      <c r="M106" s="1">
        <f t="shared" si="50"/>
        <v>0.91</v>
      </c>
      <c r="N106" s="215">
        <f>G106</f>
        <v>0.47</v>
      </c>
      <c r="O106" s="193">
        <f>N106</f>
        <v>0.47</v>
      </c>
      <c r="P106" s="63"/>
    </row>
    <row r="107" spans="1:16" ht="16">
      <c r="A107" s="1379" t="s">
        <v>146</v>
      </c>
      <c r="B107" s="66" t="s">
        <v>68</v>
      </c>
      <c r="C107" s="1" t="s">
        <v>149</v>
      </c>
      <c r="D107" s="215">
        <v>1.19</v>
      </c>
      <c r="E107" s="1">
        <f>D107</f>
        <v>1.19</v>
      </c>
      <c r="F107" s="1">
        <f t="shared" si="49"/>
        <v>1.19</v>
      </c>
      <c r="G107" s="1">
        <f t="shared" si="49"/>
        <v>1.19</v>
      </c>
      <c r="H107" s="215">
        <v>1.52</v>
      </c>
      <c r="I107" s="1">
        <f>H107</f>
        <v>1.52</v>
      </c>
      <c r="J107" s="1">
        <f t="shared" si="50"/>
        <v>1.52</v>
      </c>
      <c r="K107" s="1">
        <f t="shared" si="50"/>
        <v>1.52</v>
      </c>
      <c r="L107" s="1">
        <f t="shared" si="50"/>
        <v>1.52</v>
      </c>
      <c r="M107" s="1">
        <f t="shared" si="50"/>
        <v>1.52</v>
      </c>
      <c r="N107" s="215">
        <f>G107</f>
        <v>1.19</v>
      </c>
      <c r="O107" s="193">
        <f>N107</f>
        <v>1.19</v>
      </c>
      <c r="P107" s="63"/>
    </row>
    <row r="108" spans="1:16" ht="17" thickBot="1">
      <c r="A108" s="1380"/>
      <c r="B108" s="301" t="s">
        <v>71</v>
      </c>
      <c r="C108" s="302" t="s">
        <v>149</v>
      </c>
      <c r="D108" s="303">
        <v>0.47</v>
      </c>
      <c r="E108" s="302">
        <f>D108</f>
        <v>0.47</v>
      </c>
      <c r="F108" s="302">
        <f t="shared" si="49"/>
        <v>0.47</v>
      </c>
      <c r="G108" s="302">
        <f t="shared" si="49"/>
        <v>0.47</v>
      </c>
      <c r="H108" s="303">
        <v>0.91</v>
      </c>
      <c r="I108" s="302">
        <f>H108</f>
        <v>0.91</v>
      </c>
      <c r="J108" s="302">
        <f t="shared" si="50"/>
        <v>0.91</v>
      </c>
      <c r="K108" s="302">
        <f t="shared" si="50"/>
        <v>0.91</v>
      </c>
      <c r="L108" s="302">
        <f t="shared" si="50"/>
        <v>0.91</v>
      </c>
      <c r="M108" s="302">
        <f t="shared" si="50"/>
        <v>0.91</v>
      </c>
      <c r="N108" s="303">
        <f>G108</f>
        <v>0.47</v>
      </c>
      <c r="O108" s="304">
        <f>N108</f>
        <v>0.47</v>
      </c>
      <c r="P108" s="63"/>
    </row>
    <row r="109" spans="1:16" ht="15" thickTop="1">
      <c r="A109" s="372" t="s">
        <v>180</v>
      </c>
      <c r="B109" s="373"/>
      <c r="C109" s="381"/>
      <c r="D109" s="1381" t="s">
        <v>191</v>
      </c>
      <c r="E109" s="1381"/>
      <c r="F109" s="1381"/>
      <c r="G109" s="1381"/>
      <c r="H109" s="1381" t="s">
        <v>148</v>
      </c>
      <c r="I109" s="1381"/>
      <c r="J109" s="1381"/>
      <c r="K109" s="1381"/>
      <c r="L109" s="1381"/>
      <c r="M109" s="1381"/>
      <c r="N109" s="1382" t="s">
        <v>191</v>
      </c>
      <c r="O109" s="1383"/>
      <c r="P109" s="63"/>
    </row>
    <row r="110" spans="1:16">
      <c r="A110" s="297" t="s">
        <v>142</v>
      </c>
      <c r="B110" s="74"/>
      <c r="C110" s="1"/>
      <c r="D110" s="215">
        <v>0.55000000000000004</v>
      </c>
      <c r="E110" s="1"/>
      <c r="F110" s="1"/>
      <c r="G110" s="1"/>
      <c r="H110" s="215">
        <v>0.72</v>
      </c>
      <c r="I110" s="1"/>
      <c r="J110" s="1"/>
      <c r="K110" s="1"/>
      <c r="L110" s="1"/>
      <c r="M110" s="1"/>
      <c r="N110" s="215">
        <f>D110</f>
        <v>0.55000000000000004</v>
      </c>
      <c r="O110" s="193"/>
      <c r="P110" s="63"/>
    </row>
    <row r="111" spans="1:16">
      <c r="A111" s="1" t="s">
        <v>181</v>
      </c>
      <c r="B111" s="74"/>
      <c r="C111" s="1"/>
      <c r="D111" s="215">
        <v>0.16</v>
      </c>
      <c r="E111" s="1"/>
      <c r="F111" s="1"/>
      <c r="G111" s="1"/>
      <c r="H111" s="215">
        <v>0.184</v>
      </c>
      <c r="I111" s="1"/>
      <c r="J111" s="1"/>
      <c r="K111" s="1"/>
      <c r="L111" s="1"/>
      <c r="M111" s="1"/>
      <c r="N111" s="215"/>
      <c r="O111" s="193"/>
      <c r="P111" s="63"/>
    </row>
    <row r="112" spans="1:16">
      <c r="A112" s="1" t="s">
        <v>182</v>
      </c>
      <c r="B112" s="74"/>
      <c r="C112" s="1"/>
      <c r="D112" s="215">
        <v>8.5000000000000006E-2</v>
      </c>
      <c r="E112" s="1"/>
      <c r="F112" s="1"/>
      <c r="G112" s="1"/>
      <c r="H112" s="215">
        <v>0.113</v>
      </c>
      <c r="I112" s="1"/>
      <c r="J112" s="1"/>
      <c r="K112" s="1"/>
      <c r="L112" s="1"/>
      <c r="M112" s="1"/>
      <c r="N112" s="215"/>
      <c r="O112" s="193"/>
      <c r="P112" s="63"/>
    </row>
    <row r="113" spans="1:20">
      <c r="A113" s="1" t="s">
        <v>183</v>
      </c>
      <c r="B113" s="74"/>
      <c r="C113" s="1"/>
      <c r="D113" s="215">
        <v>2.5000000000000001E-3</v>
      </c>
      <c r="E113" s="1"/>
      <c r="F113" s="1"/>
      <c r="G113" s="1"/>
      <c r="H113" s="215">
        <v>5.4000000000000003E-3</v>
      </c>
      <c r="I113" s="1"/>
      <c r="J113" s="1"/>
      <c r="K113" s="1"/>
      <c r="L113" s="1"/>
      <c r="M113" s="1"/>
      <c r="N113" s="215"/>
      <c r="O113" s="193"/>
      <c r="P113" s="63"/>
    </row>
    <row r="114" spans="1:20" ht="16">
      <c r="A114" s="1384" t="s">
        <v>145</v>
      </c>
      <c r="B114" s="66" t="s">
        <v>68</v>
      </c>
      <c r="C114" s="1" t="s">
        <v>149</v>
      </c>
      <c r="D114" s="215">
        <v>1.19</v>
      </c>
      <c r="E114" s="1">
        <f>D114</f>
        <v>1.19</v>
      </c>
      <c r="F114" s="1">
        <f t="shared" ref="F114:G117" si="51">E114</f>
        <v>1.19</v>
      </c>
      <c r="G114" s="1">
        <f t="shared" si="51"/>
        <v>1.19</v>
      </c>
      <c r="H114" s="1">
        <v>1.64</v>
      </c>
      <c r="I114" s="1">
        <f>H114</f>
        <v>1.64</v>
      </c>
      <c r="J114" s="1">
        <f t="shared" ref="J114:M117" si="52">I114</f>
        <v>1.64</v>
      </c>
      <c r="K114" s="1">
        <f t="shared" si="52"/>
        <v>1.64</v>
      </c>
      <c r="L114" s="1">
        <f t="shared" si="52"/>
        <v>1.64</v>
      </c>
      <c r="M114" s="1">
        <f t="shared" si="52"/>
        <v>1.64</v>
      </c>
      <c r="N114" s="215">
        <f>D114</f>
        <v>1.19</v>
      </c>
      <c r="O114" s="193">
        <f>N114</f>
        <v>1.19</v>
      </c>
      <c r="P114" s="63"/>
    </row>
    <row r="115" spans="1:20" ht="16">
      <c r="A115" s="1384"/>
      <c r="B115" s="74" t="s">
        <v>71</v>
      </c>
      <c r="C115" s="1" t="s">
        <v>149</v>
      </c>
      <c r="D115" s="215">
        <v>0.47</v>
      </c>
      <c r="E115" s="1">
        <f>D115</f>
        <v>0.47</v>
      </c>
      <c r="F115" s="1">
        <f t="shared" si="51"/>
        <v>0.47</v>
      </c>
      <c r="G115" s="1">
        <f t="shared" si="51"/>
        <v>0.47</v>
      </c>
      <c r="H115" s="1">
        <v>1.03</v>
      </c>
      <c r="I115" s="1">
        <f>H115</f>
        <v>1.03</v>
      </c>
      <c r="J115" s="1">
        <f t="shared" si="52"/>
        <v>1.03</v>
      </c>
      <c r="K115" s="1">
        <f t="shared" si="52"/>
        <v>1.03</v>
      </c>
      <c r="L115" s="1">
        <f t="shared" si="52"/>
        <v>1.03</v>
      </c>
      <c r="M115" s="1">
        <f t="shared" si="52"/>
        <v>1.03</v>
      </c>
      <c r="N115" s="215">
        <f>D115</f>
        <v>0.47</v>
      </c>
      <c r="O115" s="193">
        <f>N115</f>
        <v>0.47</v>
      </c>
      <c r="P115" s="63"/>
    </row>
    <row r="116" spans="1:20" ht="16">
      <c r="A116" s="1379" t="s">
        <v>146</v>
      </c>
      <c r="B116" s="66" t="s">
        <v>68</v>
      </c>
      <c r="C116" s="1" t="s">
        <v>149</v>
      </c>
      <c r="D116" s="215">
        <v>1.19</v>
      </c>
      <c r="E116" s="1">
        <f>D116</f>
        <v>1.19</v>
      </c>
      <c r="F116" s="1">
        <f t="shared" si="51"/>
        <v>1.19</v>
      </c>
      <c r="G116" s="1">
        <f t="shared" si="51"/>
        <v>1.19</v>
      </c>
      <c r="H116" s="1">
        <v>1.64</v>
      </c>
      <c r="I116" s="1">
        <f>H116</f>
        <v>1.64</v>
      </c>
      <c r="J116" s="1">
        <f t="shared" si="52"/>
        <v>1.64</v>
      </c>
      <c r="K116" s="1">
        <f t="shared" si="52"/>
        <v>1.64</v>
      </c>
      <c r="L116" s="1">
        <f t="shared" si="52"/>
        <v>1.64</v>
      </c>
      <c r="M116" s="1">
        <f t="shared" si="52"/>
        <v>1.64</v>
      </c>
      <c r="N116" s="215">
        <f>D116</f>
        <v>1.19</v>
      </c>
      <c r="O116" s="193">
        <f>N116</f>
        <v>1.19</v>
      </c>
      <c r="P116" s="63"/>
    </row>
    <row r="117" spans="1:20" ht="17" thickBot="1">
      <c r="A117" s="1380"/>
      <c r="B117" s="301" t="s">
        <v>71</v>
      </c>
      <c r="C117" s="302" t="s">
        <v>149</v>
      </c>
      <c r="D117" s="303">
        <v>0.47</v>
      </c>
      <c r="E117" s="302">
        <f>D117</f>
        <v>0.47</v>
      </c>
      <c r="F117" s="302">
        <f t="shared" si="51"/>
        <v>0.47</v>
      </c>
      <c r="G117" s="302">
        <f t="shared" si="51"/>
        <v>0.47</v>
      </c>
      <c r="H117" s="302">
        <v>1.03</v>
      </c>
      <c r="I117" s="302">
        <f>H117</f>
        <v>1.03</v>
      </c>
      <c r="J117" s="302">
        <f t="shared" si="52"/>
        <v>1.03</v>
      </c>
      <c r="K117" s="302">
        <f t="shared" si="52"/>
        <v>1.03</v>
      </c>
      <c r="L117" s="302">
        <f t="shared" si="52"/>
        <v>1.03</v>
      </c>
      <c r="M117" s="302">
        <f t="shared" si="52"/>
        <v>1.03</v>
      </c>
      <c r="N117" s="303">
        <f>D117</f>
        <v>0.47</v>
      </c>
      <c r="O117" s="304">
        <f>N117</f>
        <v>0.47</v>
      </c>
      <c r="P117" s="63"/>
    </row>
    <row r="118" spans="1:20" ht="16" thickTop="1" thickBot="1">
      <c r="A118" s="333" t="s">
        <v>150</v>
      </c>
      <c r="C118" s="374" t="s">
        <v>151</v>
      </c>
      <c r="D118" s="374"/>
      <c r="E118" s="374"/>
      <c r="F118" s="374"/>
      <c r="G118" s="374"/>
      <c r="H118" s="374"/>
      <c r="I118" s="374"/>
      <c r="J118" s="374"/>
      <c r="K118" s="374"/>
      <c r="L118" s="374"/>
      <c r="M118" s="374"/>
      <c r="N118" s="374"/>
      <c r="O118" s="429"/>
      <c r="P118" s="63" t="s">
        <v>142</v>
      </c>
      <c r="Q118" t="s">
        <v>218</v>
      </c>
      <c r="R118" t="s">
        <v>219</v>
      </c>
      <c r="S118" t="s">
        <v>220</v>
      </c>
      <c r="T118" t="s">
        <v>221</v>
      </c>
    </row>
    <row r="119" spans="1:20">
      <c r="A119" s="432" t="s">
        <v>142</v>
      </c>
      <c r="B119" s="71"/>
      <c r="C119" s="173"/>
      <c r="D119" s="440">
        <f>((1/3)*D101+(2/3)*D110)</f>
        <v>0.55000000000000004</v>
      </c>
      <c r="E119" s="441"/>
      <c r="F119" s="441"/>
      <c r="G119" s="441"/>
      <c r="H119" s="446">
        <f>((1/3)*H101+(2/3)*H110)</f>
        <v>0.70666666666666667</v>
      </c>
      <c r="I119" s="159"/>
      <c r="J119" s="159"/>
      <c r="K119" s="159"/>
      <c r="L119" s="159"/>
      <c r="M119" s="159"/>
      <c r="N119" s="440">
        <f>((1/3)*N101+(2/3)*N110)</f>
        <v>0.55000000000000004</v>
      </c>
      <c r="O119" s="450"/>
      <c r="P119" s="63">
        <v>62</v>
      </c>
      <c r="Q119">
        <f>P119*0.04409</f>
        <v>2.7335799999999999</v>
      </c>
      <c r="R119">
        <f>Q119*0.82</f>
        <v>2.2415355999999997</v>
      </c>
      <c r="S119">
        <f>1.115-(0.8971*R119)+(0.6507*R119^2)-(0.1028*R119^3)+(0.005725*R119^4)</f>
        <v>1.3602881207498825</v>
      </c>
      <c r="T119">
        <f>(3.178*R119)-(0.8646*R119^2)+(0.1275*R119^3)-(0.00678*R119^4)-3.325</f>
        <v>0.71924495337365535</v>
      </c>
    </row>
    <row r="120" spans="1:20">
      <c r="A120" s="45" t="s">
        <v>181</v>
      </c>
      <c r="B120" s="22"/>
      <c r="C120" s="174"/>
      <c r="D120" s="442">
        <f>((1/3)*D102+(2/3)*D111)</f>
        <v>0.15999999999999998</v>
      </c>
      <c r="E120" s="443"/>
      <c r="F120" s="443"/>
      <c r="G120" s="443"/>
      <c r="H120" s="447">
        <f>((1/3)*H102+(2/3)*H111)</f>
        <v>0.19266666666666665</v>
      </c>
      <c r="I120" s="158"/>
      <c r="J120" s="158"/>
      <c r="K120" s="158"/>
      <c r="L120" s="158"/>
      <c r="M120" s="158"/>
      <c r="N120" s="442"/>
      <c r="O120" s="451"/>
      <c r="P120" s="63">
        <f>P119*0.9</f>
        <v>55.800000000000004</v>
      </c>
      <c r="Q120">
        <f>P120*0.04409</f>
        <v>2.4602219999999999</v>
      </c>
      <c r="R120">
        <f>Q120*0.82</f>
        <v>2.0173820399999998</v>
      </c>
      <c r="S120">
        <f>1.115-(0.8971*R120)+(0.6507*R120^2)-(0.1028*R120^3)+(0.005725*R120^4)</f>
        <v>1.204241907765492</v>
      </c>
      <c r="T120">
        <f>(3.178*R120)-(0.8646*R120^2)+(0.1275*R120^3)-(0.00678*R120^4)-3.325</f>
        <v>0.50199051777256853</v>
      </c>
    </row>
    <row r="121" spans="1:20">
      <c r="A121" s="45" t="s">
        <v>182</v>
      </c>
      <c r="B121" s="22"/>
      <c r="C121" s="174"/>
      <c r="D121" s="442">
        <f>((1/3)*D103+(2/3)*D112)</f>
        <v>8.5000000000000006E-2</v>
      </c>
      <c r="E121" s="443"/>
      <c r="F121" s="443"/>
      <c r="G121" s="443"/>
      <c r="H121" s="447">
        <f>((1/3)*H103+(2/3)*H112)</f>
        <v>7.5333333333333335E-2</v>
      </c>
      <c r="I121" s="158"/>
      <c r="J121" s="158"/>
      <c r="K121" s="158"/>
      <c r="L121" s="158"/>
      <c r="M121" s="158"/>
      <c r="N121" s="442"/>
      <c r="O121" s="451"/>
      <c r="P121" s="63" t="s">
        <v>142</v>
      </c>
      <c r="Q121" t="s">
        <v>218</v>
      </c>
      <c r="R121" t="s">
        <v>219</v>
      </c>
      <c r="S121" t="s">
        <v>220</v>
      </c>
      <c r="T121" t="s">
        <v>221</v>
      </c>
    </row>
    <row r="122" spans="1:20">
      <c r="A122" s="45" t="s">
        <v>183</v>
      </c>
      <c r="B122" s="22"/>
      <c r="C122" s="174"/>
      <c r="D122" s="444">
        <f>((1/3)*D104+(2/3)*D113)</f>
        <v>2.4999999999999996E-3</v>
      </c>
      <c r="E122" s="443"/>
      <c r="F122" s="443"/>
      <c r="G122" s="443"/>
      <c r="H122" s="448">
        <f>((1/3)*H104+(2/3)*H113)</f>
        <v>4.7999999999999996E-3</v>
      </c>
      <c r="I122" s="158"/>
      <c r="J122" s="158"/>
      <c r="K122" s="158"/>
      <c r="L122" s="158"/>
      <c r="M122" s="158"/>
      <c r="N122" s="442"/>
      <c r="O122" s="451"/>
      <c r="P122" s="63">
        <v>71</v>
      </c>
      <c r="Q122">
        <f>P122*0.04409</f>
        <v>3.1303899999999998</v>
      </c>
      <c r="R122">
        <f>Q122*0.82</f>
        <v>2.5669197999999995</v>
      </c>
      <c r="S122">
        <f>1.115-(0.8971*R122)+(0.6507*R122^2)-(0.1028*R122^3)+(0.005725*R122^4)</f>
        <v>1.609563611585219</v>
      </c>
      <c r="T122">
        <f>(3.178*R122)-(0.8646*R122^2)+(0.1275*R122^3)-(0.00678*R122^4)-3.325</f>
        <v>0.99788305078628614</v>
      </c>
    </row>
    <row r="123" spans="1:20" ht="16">
      <c r="A123" s="1384" t="s">
        <v>99</v>
      </c>
      <c r="B123" s="66" t="s">
        <v>68</v>
      </c>
      <c r="C123" s="174"/>
      <c r="D123" s="437">
        <f>((1/3)*D105)+((2/3)*D114)</f>
        <v>1.19</v>
      </c>
      <c r="E123" s="438">
        <f>D123</f>
        <v>1.19</v>
      </c>
      <c r="F123" s="438">
        <f>D123</f>
        <v>1.19</v>
      </c>
      <c r="G123" s="438">
        <f>D123</f>
        <v>1.19</v>
      </c>
      <c r="H123" s="435">
        <f>((1/3)*H105)+((2/3)*H114)</f>
        <v>1.5999999999999999</v>
      </c>
      <c r="I123" s="158">
        <f>H123</f>
        <v>1.5999999999999999</v>
      </c>
      <c r="J123" s="158">
        <f>H123</f>
        <v>1.5999999999999999</v>
      </c>
      <c r="K123" s="158">
        <f t="shared" ref="K123:M124" si="53">H123</f>
        <v>1.5999999999999999</v>
      </c>
      <c r="L123" s="158">
        <f t="shared" si="53"/>
        <v>1.5999999999999999</v>
      </c>
      <c r="M123" s="158">
        <f t="shared" si="53"/>
        <v>1.5999999999999999</v>
      </c>
      <c r="N123" s="437">
        <f>D123</f>
        <v>1.19</v>
      </c>
      <c r="O123" s="452">
        <f>N123</f>
        <v>1.19</v>
      </c>
      <c r="P123" s="63">
        <f>P122*0.9</f>
        <v>63.9</v>
      </c>
      <c r="Q123">
        <f>P123*0.04409</f>
        <v>2.8173509999999999</v>
      </c>
      <c r="R123">
        <f>Q123*0.82</f>
        <v>2.3102278199999997</v>
      </c>
      <c r="S123">
        <f>1.115-(0.8971*R123)+(0.6507*R123^2)-(0.1028*R123^3)+(0.005725*R123^4)</f>
        <v>1.4109296188175198</v>
      </c>
      <c r="T123">
        <f>(3.178*R123)-(0.8646*R123^2)+(0.1275*R123^3)-(0.00678*R123^4)-3.325</f>
        <v>0.78135214311064782</v>
      </c>
    </row>
    <row r="124" spans="1:20" ht="17" thickBot="1">
      <c r="A124" s="1385"/>
      <c r="B124" s="75" t="s">
        <v>71</v>
      </c>
      <c r="C124" s="195"/>
      <c r="D124" s="445">
        <f>((1/3)*D106)+((2/3)*D115)</f>
        <v>0.47</v>
      </c>
      <c r="E124" s="439">
        <f>D124</f>
        <v>0.47</v>
      </c>
      <c r="F124" s="439">
        <f>D124</f>
        <v>0.47</v>
      </c>
      <c r="G124" s="439">
        <f>D124</f>
        <v>0.47</v>
      </c>
      <c r="H124" s="449">
        <f>((1/3)*H106)+((2/3)*H115)</f>
        <v>0.99</v>
      </c>
      <c r="I124" s="436">
        <f>H124</f>
        <v>0.99</v>
      </c>
      <c r="J124" s="436">
        <f>H124</f>
        <v>0.99</v>
      </c>
      <c r="K124" s="436">
        <f t="shared" si="53"/>
        <v>0.99</v>
      </c>
      <c r="L124" s="436">
        <f t="shared" si="53"/>
        <v>0.99</v>
      </c>
      <c r="M124" s="436">
        <f t="shared" si="53"/>
        <v>0.99</v>
      </c>
      <c r="N124" s="445">
        <f>D124</f>
        <v>0.47</v>
      </c>
      <c r="O124" s="453">
        <f>N124</f>
        <v>0.47</v>
      </c>
      <c r="P124" s="63"/>
    </row>
    <row r="125" spans="1:20">
      <c r="A125" s="430" t="s">
        <v>222</v>
      </c>
      <c r="B125" s="373"/>
      <c r="C125" s="431"/>
      <c r="D125" s="1398" t="s">
        <v>227</v>
      </c>
      <c r="E125" s="1399"/>
      <c r="F125" s="1399"/>
      <c r="G125" s="1400"/>
      <c r="H125" s="1395" t="s">
        <v>226</v>
      </c>
      <c r="I125" s="1396"/>
      <c r="J125" s="1396"/>
      <c r="K125" s="1396"/>
      <c r="L125" s="1396"/>
      <c r="M125" s="1397"/>
      <c r="N125" s="433" t="s">
        <v>224</v>
      </c>
      <c r="O125" s="434" t="s">
        <v>225</v>
      </c>
      <c r="P125" s="63"/>
    </row>
    <row r="126" spans="1:20">
      <c r="A126" s="387" t="s">
        <v>142</v>
      </c>
      <c r="B126" s="74"/>
      <c r="C126" s="174"/>
      <c r="D126" s="437"/>
      <c r="E126" s="438"/>
      <c r="F126" s="438"/>
      <c r="G126" s="438"/>
      <c r="H126" s="435"/>
      <c r="I126" s="158"/>
      <c r="J126" s="158"/>
      <c r="K126" s="158"/>
      <c r="L126" s="158"/>
      <c r="M126" s="158"/>
      <c r="N126" s="416">
        <v>70</v>
      </c>
      <c r="O126" s="424">
        <v>81.5</v>
      </c>
      <c r="P126" s="63"/>
    </row>
    <row r="127" spans="1:20">
      <c r="A127" s="387" t="s">
        <v>181</v>
      </c>
      <c r="B127" s="74"/>
      <c r="C127" s="174"/>
      <c r="D127" s="437"/>
      <c r="E127" s="438"/>
      <c r="F127" s="438"/>
      <c r="G127" s="438"/>
      <c r="H127" s="435"/>
      <c r="I127" s="158"/>
      <c r="J127" s="158"/>
      <c r="K127" s="158"/>
      <c r="L127" s="158"/>
      <c r="M127" s="158"/>
      <c r="N127" s="416">
        <v>14</v>
      </c>
      <c r="O127" s="424">
        <v>14.8</v>
      </c>
      <c r="P127" s="63"/>
    </row>
    <row r="128" spans="1:20">
      <c r="A128" s="387" t="s">
        <v>182</v>
      </c>
      <c r="B128" s="74"/>
      <c r="C128" s="174"/>
      <c r="D128" s="437"/>
      <c r="E128" s="438"/>
      <c r="F128" s="438"/>
      <c r="G128" s="438"/>
      <c r="H128" s="435"/>
      <c r="I128" s="158"/>
      <c r="J128" s="158"/>
      <c r="K128" s="158"/>
      <c r="L128" s="158"/>
      <c r="M128" s="158"/>
      <c r="N128" s="416"/>
      <c r="O128" s="424"/>
      <c r="P128" s="63"/>
    </row>
    <row r="129" spans="1:16">
      <c r="A129" s="387" t="s">
        <v>183</v>
      </c>
      <c r="B129" s="74"/>
      <c r="C129" s="174"/>
      <c r="D129" s="437"/>
      <c r="E129" s="438"/>
      <c r="F129" s="438"/>
      <c r="G129" s="438"/>
      <c r="H129" s="435"/>
      <c r="I129" s="158"/>
      <c r="J129" s="158"/>
      <c r="K129" s="158"/>
      <c r="L129" s="158"/>
      <c r="M129" s="158"/>
      <c r="N129" s="416">
        <v>0.35</v>
      </c>
      <c r="O129" s="424">
        <v>0.38</v>
      </c>
      <c r="P129" s="63"/>
    </row>
    <row r="130" spans="1:16" ht="16">
      <c r="A130" s="1386" t="s">
        <v>223</v>
      </c>
      <c r="B130" s="66" t="s">
        <v>68</v>
      </c>
      <c r="C130" s="174"/>
      <c r="D130" s="437">
        <f>((1/3)*D107)+((2/3)*D116)</f>
        <v>1.19</v>
      </c>
      <c r="E130" s="438">
        <f>D130</f>
        <v>1.19</v>
      </c>
      <c r="F130" s="438">
        <f>D130</f>
        <v>1.19</v>
      </c>
      <c r="G130" s="438">
        <f>D130</f>
        <v>1.19</v>
      </c>
      <c r="H130" s="435">
        <f>((1/3)*H107)+((2/3)*H116)</f>
        <v>1.5999999999999999</v>
      </c>
      <c r="I130" s="158">
        <f>H130</f>
        <v>1.5999999999999999</v>
      </c>
      <c r="J130" s="158">
        <f>H130</f>
        <v>1.5999999999999999</v>
      </c>
      <c r="K130" s="158">
        <f t="shared" ref="K130:M131" si="54">H130</f>
        <v>1.5999999999999999</v>
      </c>
      <c r="L130" s="158">
        <f t="shared" si="54"/>
        <v>1.5999999999999999</v>
      </c>
      <c r="M130" s="158">
        <f t="shared" si="54"/>
        <v>1.5999999999999999</v>
      </c>
      <c r="N130" s="416">
        <v>1.58</v>
      </c>
      <c r="O130" s="424">
        <v>1.98</v>
      </c>
    </row>
    <row r="131" spans="1:16" ht="17" thickBot="1">
      <c r="A131" s="1387"/>
      <c r="B131" s="75" t="s">
        <v>71</v>
      </c>
      <c r="C131" s="195"/>
      <c r="D131" s="437">
        <f>((1/3)*D108)+((2/3)*D117)</f>
        <v>0.47</v>
      </c>
      <c r="E131" s="439">
        <f>D131</f>
        <v>0.47</v>
      </c>
      <c r="F131" s="439">
        <f>D131</f>
        <v>0.47</v>
      </c>
      <c r="G131" s="439">
        <f>D131</f>
        <v>0.47</v>
      </c>
      <c r="H131" s="435">
        <f>((1/3)*H108)+((2/3)*H117)</f>
        <v>0.99</v>
      </c>
      <c r="I131" s="436">
        <f>H131</f>
        <v>0.99</v>
      </c>
      <c r="J131" s="436">
        <f>H131</f>
        <v>0.99</v>
      </c>
      <c r="K131" s="436">
        <f t="shared" si="54"/>
        <v>0.99</v>
      </c>
      <c r="L131" s="436">
        <f t="shared" si="54"/>
        <v>0.99</v>
      </c>
      <c r="M131" s="436">
        <f t="shared" si="54"/>
        <v>0.99</v>
      </c>
      <c r="N131" s="417">
        <v>0.97</v>
      </c>
      <c r="O131" s="425">
        <v>1.33</v>
      </c>
    </row>
    <row r="132" spans="1:16" ht="15" thickBot="1">
      <c r="D132" s="211"/>
      <c r="E132" s="63"/>
      <c r="F132" s="63"/>
      <c r="G132" s="63"/>
      <c r="H132" s="211"/>
      <c r="I132" s="63"/>
      <c r="J132" s="63"/>
      <c r="K132" s="63"/>
      <c r="L132" s="63"/>
      <c r="M132" s="63"/>
      <c r="N132" s="211"/>
      <c r="O132" s="63"/>
    </row>
    <row r="133" spans="1:16" ht="15" thickBot="1">
      <c r="A133" s="290" t="s">
        <v>100</v>
      </c>
      <c r="B133" s="206"/>
      <c r="C133" s="207"/>
      <c r="D133" s="250"/>
      <c r="E133" s="206"/>
      <c r="F133" s="206"/>
      <c r="G133" s="206"/>
      <c r="H133" s="250"/>
      <c r="I133" s="206"/>
      <c r="J133" s="206"/>
      <c r="K133" s="206"/>
      <c r="L133" s="206"/>
      <c r="M133" s="206"/>
      <c r="N133" s="250"/>
      <c r="O133" s="212"/>
    </row>
    <row r="134" spans="1:16" ht="16">
      <c r="A134" s="1367" t="s">
        <v>85</v>
      </c>
      <c r="B134" s="217" t="s">
        <v>68</v>
      </c>
      <c r="C134" s="173" t="s">
        <v>103</v>
      </c>
      <c r="D134" s="218">
        <f t="shared" ref="D134:O134" si="55">D76/D$123</f>
        <v>8.5642224208686653</v>
      </c>
      <c r="E134" s="218">
        <f t="shared" si="55"/>
        <v>9.3938945520768531</v>
      </c>
      <c r="F134" s="218">
        <f t="shared" si="55"/>
        <v>10.286895411849702</v>
      </c>
      <c r="G134" s="218">
        <f t="shared" si="55"/>
        <v>12.308942132691499</v>
      </c>
      <c r="H134" s="218">
        <f t="shared" si="55"/>
        <v>8.8459921271179791</v>
      </c>
      <c r="I134" s="218">
        <f t="shared" si="55"/>
        <v>9.5553097291587967</v>
      </c>
      <c r="J134" s="218">
        <f t="shared" si="55"/>
        <v>9.2128485416978982</v>
      </c>
      <c r="K134" s="218">
        <f t="shared" si="55"/>
        <v>8.534476247812302</v>
      </c>
      <c r="L134" s="218">
        <f t="shared" si="55"/>
        <v>7.8425777692336727</v>
      </c>
      <c r="M134" s="218">
        <f t="shared" si="55"/>
        <v>7.2740284900155192</v>
      </c>
      <c r="N134" s="218">
        <f t="shared" si="55"/>
        <v>7.7091620782387738</v>
      </c>
      <c r="O134" s="219">
        <f t="shared" si="55"/>
        <v>8.0054034237398426</v>
      </c>
    </row>
    <row r="135" spans="1:16" ht="15" thickBot="1">
      <c r="A135" s="1369"/>
      <c r="B135" s="68" t="s">
        <v>105</v>
      </c>
      <c r="C135" s="195" t="s">
        <v>106</v>
      </c>
      <c r="D135" s="251">
        <f t="shared" ref="D135:O135" si="56">D134/D12</f>
        <v>1.5107288350412324E-2</v>
      </c>
      <c r="E135" s="251">
        <f t="shared" si="56"/>
        <v>1.6570829989863568E-2</v>
      </c>
      <c r="F135" s="251">
        <f t="shared" si="56"/>
        <v>1.8146083506502875E-2</v>
      </c>
      <c r="G135" s="251">
        <f t="shared" si="56"/>
        <v>2.1712973922067804E-2</v>
      </c>
      <c r="H135" s="251">
        <f t="shared" si="56"/>
        <v>1.5604330112236114E-2</v>
      </c>
      <c r="I135" s="251">
        <f t="shared" si="56"/>
        <v>1.6855566362236115E-2</v>
      </c>
      <c r="J135" s="251">
        <f t="shared" si="56"/>
        <v>1.6251464827555091E-2</v>
      </c>
      <c r="K135" s="251">
        <f t="shared" si="56"/>
        <v>1.50548161011409E-2</v>
      </c>
      <c r="L135" s="251">
        <f t="shared" si="56"/>
        <v>1.3834307184928198E-2</v>
      </c>
      <c r="M135" s="251">
        <f t="shared" si="56"/>
        <v>1.2831386256387375E-2</v>
      </c>
      <c r="N135" s="251">
        <f t="shared" si="56"/>
        <v>1.3598961906013196E-2</v>
      </c>
      <c r="O135" s="252">
        <f t="shared" si="56"/>
        <v>1.4121531639477082E-2</v>
      </c>
    </row>
    <row r="136" spans="1:16" ht="16">
      <c r="A136" s="1367" t="s">
        <v>86</v>
      </c>
      <c r="B136" s="217" t="s">
        <v>68</v>
      </c>
      <c r="C136" s="173" t="s">
        <v>103</v>
      </c>
      <c r="D136" s="218">
        <f t="shared" ref="D136:O136" si="57">D77/D$123</f>
        <v>9.8819282723921607</v>
      </c>
      <c r="E136" s="218">
        <f t="shared" si="57"/>
        <v>9.8819282723921607</v>
      </c>
      <c r="F136" s="218">
        <f t="shared" si="57"/>
        <v>9.8819282723921607</v>
      </c>
      <c r="G136" s="218">
        <f t="shared" si="57"/>
        <v>9.8819282723921607</v>
      </c>
      <c r="H136" s="218">
        <f t="shared" si="57"/>
        <v>7.3496841525916699</v>
      </c>
      <c r="I136" s="218">
        <f t="shared" si="57"/>
        <v>7.3496841525916699</v>
      </c>
      <c r="J136" s="218">
        <f t="shared" si="57"/>
        <v>7.3496841525916699</v>
      </c>
      <c r="K136" s="218">
        <f t="shared" si="57"/>
        <v>7.3496841525916699</v>
      </c>
      <c r="L136" s="218">
        <f t="shared" si="57"/>
        <v>7.3496841525916699</v>
      </c>
      <c r="M136" s="218">
        <f t="shared" si="57"/>
        <v>7.3496841525916699</v>
      </c>
      <c r="N136" s="218">
        <f t="shared" si="57"/>
        <v>9.8819282723921607</v>
      </c>
      <c r="O136" s="219">
        <f t="shared" si="57"/>
        <v>9.8819282723921607</v>
      </c>
    </row>
    <row r="137" spans="1:16" ht="15" thickBot="1">
      <c r="A137" s="1369"/>
      <c r="B137" s="68" t="s">
        <v>105</v>
      </c>
      <c r="C137" s="195" t="s">
        <v>107</v>
      </c>
      <c r="D137" s="251">
        <f t="shared" ref="D137:O137" si="58">D136/D18</f>
        <v>1.2105362133680398E-2</v>
      </c>
      <c r="E137" s="251">
        <f t="shared" si="58"/>
        <v>1.2105362133680398E-2</v>
      </c>
      <c r="F137" s="251">
        <f t="shared" si="58"/>
        <v>1.2105362133680398E-2</v>
      </c>
      <c r="G137" s="251">
        <f t="shared" si="58"/>
        <v>1.2105362133680398E-2</v>
      </c>
      <c r="H137" s="251">
        <f t="shared" si="58"/>
        <v>9.0033630869247958E-3</v>
      </c>
      <c r="I137" s="251">
        <f t="shared" si="58"/>
        <v>9.0033630869247958E-3</v>
      </c>
      <c r="J137" s="251">
        <f t="shared" si="58"/>
        <v>9.0033630869247958E-3</v>
      </c>
      <c r="K137" s="251">
        <f t="shared" si="58"/>
        <v>9.0033630869247958E-3</v>
      </c>
      <c r="L137" s="251">
        <f t="shared" si="58"/>
        <v>9.0033630869247958E-3</v>
      </c>
      <c r="M137" s="251">
        <f t="shared" si="58"/>
        <v>9.0033630869247958E-3</v>
      </c>
      <c r="N137" s="251">
        <f t="shared" si="58"/>
        <v>1.2105362133680398E-2</v>
      </c>
      <c r="O137" s="251">
        <f t="shared" si="58"/>
        <v>1.2105362133680398E-2</v>
      </c>
    </row>
    <row r="138" spans="1:16" ht="16">
      <c r="A138" s="1370" t="s">
        <v>87</v>
      </c>
      <c r="B138" s="217" t="s">
        <v>68</v>
      </c>
      <c r="C138" s="173" t="s">
        <v>103</v>
      </c>
      <c r="D138" s="260">
        <f t="shared" ref="D138:O138" si="59">D78/D$130</f>
        <v>0</v>
      </c>
      <c r="E138" s="260">
        <f t="shared" si="59"/>
        <v>0</v>
      </c>
      <c r="F138" s="260">
        <f t="shared" si="59"/>
        <v>0</v>
      </c>
      <c r="G138" s="260">
        <f>G78/G$130</f>
        <v>0.56914000933030118</v>
      </c>
      <c r="H138" s="260">
        <f t="shared" si="59"/>
        <v>0.42329788193941154</v>
      </c>
      <c r="I138" s="260">
        <f t="shared" si="59"/>
        <v>0.42329788193941154</v>
      </c>
      <c r="J138" s="260">
        <f t="shared" si="59"/>
        <v>0.42329788193941154</v>
      </c>
      <c r="K138" s="260">
        <f t="shared" si="59"/>
        <v>0.42329788193941154</v>
      </c>
      <c r="L138" s="260">
        <f t="shared" si="59"/>
        <v>0.42329788193941154</v>
      </c>
      <c r="M138" s="260">
        <f t="shared" si="59"/>
        <v>0.42329788193941154</v>
      </c>
      <c r="N138" s="260">
        <f t="shared" si="59"/>
        <v>0</v>
      </c>
      <c r="O138" s="261">
        <f t="shared" si="59"/>
        <v>0</v>
      </c>
    </row>
    <row r="139" spans="1:16" ht="16">
      <c r="A139" s="1371"/>
      <c r="B139" s="74" t="s">
        <v>71</v>
      </c>
      <c r="C139" s="174" t="s">
        <v>103</v>
      </c>
      <c r="D139" s="198">
        <f t="shared" ref="D139:O139" si="60">D79/D$131</f>
        <v>0</v>
      </c>
      <c r="E139" s="198">
        <f t="shared" si="60"/>
        <v>0</v>
      </c>
      <c r="F139" s="198">
        <f t="shared" si="60"/>
        <v>0</v>
      </c>
      <c r="G139" s="198">
        <f t="shared" si="60"/>
        <v>2.2945415253558332</v>
      </c>
      <c r="H139" s="198">
        <f t="shared" si="60"/>
        <v>1.4409077891506981</v>
      </c>
      <c r="I139" s="198">
        <f t="shared" si="60"/>
        <v>1.8572081638002305</v>
      </c>
      <c r="J139" s="198">
        <f t="shared" si="60"/>
        <v>2.2442307386347577</v>
      </c>
      <c r="K139" s="198">
        <f t="shared" si="60"/>
        <v>2.6100676369302649</v>
      </c>
      <c r="L139" s="198">
        <f t="shared" si="60"/>
        <v>2.9594983721367196</v>
      </c>
      <c r="M139" s="198">
        <f t="shared" si="60"/>
        <v>3.295652718666843</v>
      </c>
      <c r="N139" s="198">
        <f t="shared" si="60"/>
        <v>0</v>
      </c>
      <c r="O139" s="262">
        <f t="shared" si="60"/>
        <v>0</v>
      </c>
    </row>
    <row r="140" spans="1:16">
      <c r="A140" s="1371"/>
      <c r="B140" s="74" t="s">
        <v>105</v>
      </c>
      <c r="C140" s="174" t="s">
        <v>103</v>
      </c>
      <c r="D140" s="198">
        <f>SUM(D138:D139)</f>
        <v>0</v>
      </c>
      <c r="E140" s="198">
        <f t="shared" ref="E140:O140" si="61">SUM(E138:E139)</f>
        <v>0</v>
      </c>
      <c r="F140" s="198">
        <f t="shared" si="61"/>
        <v>0</v>
      </c>
      <c r="G140" s="198">
        <f t="shared" si="61"/>
        <v>2.8636815346861342</v>
      </c>
      <c r="H140" s="198">
        <f t="shared" si="61"/>
        <v>1.8642056710901096</v>
      </c>
      <c r="I140" s="198">
        <f t="shared" si="61"/>
        <v>2.2805060457396422</v>
      </c>
      <c r="J140" s="198">
        <f t="shared" si="61"/>
        <v>2.6675286205741693</v>
      </c>
      <c r="K140" s="198">
        <f t="shared" si="61"/>
        <v>3.0333655188696764</v>
      </c>
      <c r="L140" s="198">
        <f t="shared" si="61"/>
        <v>3.3827962540761312</v>
      </c>
      <c r="M140" s="198">
        <f t="shared" si="61"/>
        <v>3.7189506006062545</v>
      </c>
      <c r="N140" s="198">
        <f t="shared" si="61"/>
        <v>0</v>
      </c>
      <c r="O140" s="198">
        <f t="shared" si="61"/>
        <v>0</v>
      </c>
    </row>
    <row r="141" spans="1:16" ht="15" thickBot="1">
      <c r="A141" s="1372"/>
      <c r="B141" s="75" t="s">
        <v>105</v>
      </c>
      <c r="C141" s="195" t="s">
        <v>107</v>
      </c>
      <c r="D141" s="263"/>
      <c r="E141" s="263"/>
      <c r="F141" s="263"/>
      <c r="G141" s="264">
        <f t="shared" ref="G141:M141" si="62">G140/G21</f>
        <v>5.5081607536651846E-2</v>
      </c>
      <c r="H141" s="264">
        <f t="shared" si="62"/>
        <v>2.4694803428876817E-2</v>
      </c>
      <c r="I141" s="264">
        <f t="shared" si="62"/>
        <v>2.153659874363845E-2</v>
      </c>
      <c r="J141" s="264">
        <f t="shared" si="62"/>
        <v>1.9572474979505601E-2</v>
      </c>
      <c r="K141" s="264">
        <f t="shared" si="62"/>
        <v>1.8197667722595331E-2</v>
      </c>
      <c r="L141" s="264">
        <f t="shared" si="62"/>
        <v>1.716373107148202E-2</v>
      </c>
      <c r="M141" s="264">
        <f t="shared" si="62"/>
        <v>1.6347768855271057E-2</v>
      </c>
      <c r="N141" s="264"/>
      <c r="O141" s="263"/>
    </row>
    <row r="142" spans="1:16" ht="16">
      <c r="A142" s="1370" t="s">
        <v>84</v>
      </c>
      <c r="B142" s="217" t="s">
        <v>68</v>
      </c>
      <c r="C142" s="173" t="s">
        <v>103</v>
      </c>
      <c r="D142" s="260">
        <f t="shared" ref="D142:O142" si="63">D80/D$130</f>
        <v>0</v>
      </c>
      <c r="E142" s="260">
        <f t="shared" si="63"/>
        <v>0</v>
      </c>
      <c r="F142" s="260">
        <f t="shared" si="63"/>
        <v>0</v>
      </c>
      <c r="G142" s="260">
        <f t="shared" si="63"/>
        <v>0.41401814292848121</v>
      </c>
      <c r="H142" s="260">
        <f t="shared" si="63"/>
        <v>0.30792599380305791</v>
      </c>
      <c r="I142" s="260">
        <f t="shared" si="63"/>
        <v>0.30792599380305791</v>
      </c>
      <c r="J142" s="260">
        <f t="shared" si="63"/>
        <v>0.30792599380305791</v>
      </c>
      <c r="K142" s="260">
        <f t="shared" si="63"/>
        <v>0.30792599380305791</v>
      </c>
      <c r="L142" s="260">
        <f t="shared" si="63"/>
        <v>0.30792599380305791</v>
      </c>
      <c r="M142" s="260">
        <f t="shared" si="63"/>
        <v>0.30792599380305791</v>
      </c>
      <c r="N142" s="260">
        <f t="shared" si="63"/>
        <v>0</v>
      </c>
      <c r="O142" s="261">
        <f t="shared" si="63"/>
        <v>0</v>
      </c>
    </row>
    <row r="143" spans="1:16" ht="16">
      <c r="A143" s="1371"/>
      <c r="B143" s="74" t="s">
        <v>71</v>
      </c>
      <c r="C143" s="174" t="s">
        <v>103</v>
      </c>
      <c r="D143" s="198">
        <f t="shared" ref="D143:O143" si="64">D81/D$131</f>
        <v>0</v>
      </c>
      <c r="E143" s="198">
        <f t="shared" si="64"/>
        <v>0</v>
      </c>
      <c r="F143" s="198">
        <f t="shared" si="64"/>
        <v>0</v>
      </c>
      <c r="G143" s="198">
        <f t="shared" si="64"/>
        <v>2.4207216995240555</v>
      </c>
      <c r="H143" s="198">
        <f t="shared" si="64"/>
        <v>1.5290257429451612</v>
      </c>
      <c r="I143" s="198">
        <f t="shared" si="64"/>
        <v>1.9780430697201268</v>
      </c>
      <c r="J143" s="198">
        <f t="shared" si="64"/>
        <v>2.3950998666033088</v>
      </c>
      <c r="K143" s="198">
        <f t="shared" si="64"/>
        <v>2.7891140759282829</v>
      </c>
      <c r="L143" s="198">
        <f t="shared" si="64"/>
        <v>3.1653242056521189</v>
      </c>
      <c r="M143" s="198">
        <f t="shared" si="64"/>
        <v>3.5271487197740914</v>
      </c>
      <c r="N143" s="198">
        <f t="shared" si="64"/>
        <v>0</v>
      </c>
      <c r="O143" s="262">
        <f t="shared" si="64"/>
        <v>0</v>
      </c>
    </row>
    <row r="144" spans="1:16">
      <c r="A144" s="1371"/>
      <c r="B144" s="74" t="s">
        <v>105</v>
      </c>
      <c r="C144" s="174" t="s">
        <v>103</v>
      </c>
      <c r="D144" s="198"/>
      <c r="E144" s="198"/>
      <c r="F144" s="198"/>
      <c r="G144" s="198">
        <f>SUM(G142:G143)</f>
        <v>2.8347398424525365</v>
      </c>
      <c r="H144" s="198">
        <f>SUM(H142:H143)</f>
        <v>1.8369517367482191</v>
      </c>
      <c r="I144" s="198">
        <f t="shared" ref="I144:O144" si="65">SUM(I142:I143)</f>
        <v>2.2859690635231846</v>
      </c>
      <c r="J144" s="198">
        <f t="shared" si="65"/>
        <v>2.7030258604063668</v>
      </c>
      <c r="K144" s="198">
        <f t="shared" si="65"/>
        <v>3.0970400697313409</v>
      </c>
      <c r="L144" s="198">
        <f t="shared" si="65"/>
        <v>3.473250199455177</v>
      </c>
      <c r="M144" s="198">
        <f t="shared" si="65"/>
        <v>3.8350747135771495</v>
      </c>
      <c r="N144" s="198">
        <f t="shared" si="65"/>
        <v>0</v>
      </c>
      <c r="O144" s="198">
        <f t="shared" si="65"/>
        <v>0</v>
      </c>
    </row>
    <row r="145" spans="1:15" ht="15" thickBot="1">
      <c r="A145" s="1372"/>
      <c r="B145" s="75" t="s">
        <v>105</v>
      </c>
      <c r="C145" s="195" t="s">
        <v>107</v>
      </c>
      <c r="D145" s="263"/>
      <c r="E145" s="263"/>
      <c r="F145" s="263"/>
      <c r="G145" s="264">
        <f t="shared" ref="G145:M145" si="66">G144/G27</f>
        <v>6.0116387137368062E-2</v>
      </c>
      <c r="H145" s="264">
        <f t="shared" si="66"/>
        <v>2.6621614061977154E-2</v>
      </c>
      <c r="I145" s="264">
        <f t="shared" si="66"/>
        <v>2.3502409591404965E-2</v>
      </c>
      <c r="J145" s="264">
        <f t="shared" si="66"/>
        <v>2.1533191308197693E-2</v>
      </c>
      <c r="K145" s="264">
        <f t="shared" si="66"/>
        <v>2.0137929738897727E-2</v>
      </c>
      <c r="L145" s="264">
        <f t="shared" si="66"/>
        <v>1.9078087561464431E-2</v>
      </c>
      <c r="M145" s="264">
        <f t="shared" si="66"/>
        <v>1.8234694864555506E-2</v>
      </c>
      <c r="N145" s="264"/>
      <c r="O145" s="265"/>
    </row>
    <row r="146" spans="1:15" s="496" customFormat="1" ht="16">
      <c r="A146" s="1373" t="s">
        <v>95</v>
      </c>
      <c r="B146" s="504" t="s">
        <v>68</v>
      </c>
      <c r="C146" s="505" t="s">
        <v>103</v>
      </c>
      <c r="D146" s="506">
        <f t="shared" ref="D146:O146" si="67">D82/D$130</f>
        <v>0</v>
      </c>
      <c r="E146" s="506">
        <f t="shared" si="67"/>
        <v>0</v>
      </c>
      <c r="F146" s="506">
        <f t="shared" si="67"/>
        <v>0</v>
      </c>
      <c r="G146" s="506">
        <f t="shared" si="67"/>
        <v>0</v>
      </c>
      <c r="H146" s="506">
        <f t="shared" si="67"/>
        <v>0</v>
      </c>
      <c r="I146" s="506">
        <f t="shared" si="67"/>
        <v>0</v>
      </c>
      <c r="J146" s="506">
        <f t="shared" si="67"/>
        <v>0</v>
      </c>
      <c r="K146" s="506">
        <f t="shared" si="67"/>
        <v>0</v>
      </c>
      <c r="L146" s="506">
        <f t="shared" si="67"/>
        <v>0</v>
      </c>
      <c r="M146" s="506">
        <f t="shared" si="67"/>
        <v>0</v>
      </c>
      <c r="N146" s="506">
        <f t="shared" si="67"/>
        <v>0</v>
      </c>
      <c r="O146" s="507">
        <f t="shared" si="67"/>
        <v>0</v>
      </c>
    </row>
    <row r="147" spans="1:15" s="496" customFormat="1" ht="16">
      <c r="A147" s="1374"/>
      <c r="B147" s="508" t="s">
        <v>71</v>
      </c>
      <c r="C147" s="509" t="s">
        <v>103</v>
      </c>
      <c r="D147" s="510">
        <f t="shared" ref="D147:O147" si="68">D83/D$131</f>
        <v>0</v>
      </c>
      <c r="E147" s="510">
        <f t="shared" si="68"/>
        <v>0</v>
      </c>
      <c r="F147" s="510">
        <f t="shared" si="68"/>
        <v>0</v>
      </c>
      <c r="G147" s="510">
        <f t="shared" si="68"/>
        <v>0</v>
      </c>
      <c r="H147" s="510">
        <f t="shared" si="68"/>
        <v>0</v>
      </c>
      <c r="I147" s="510">
        <f t="shared" si="68"/>
        <v>0</v>
      </c>
      <c r="J147" s="510">
        <f t="shared" si="68"/>
        <v>0</v>
      </c>
      <c r="K147" s="510">
        <f t="shared" si="68"/>
        <v>0</v>
      </c>
      <c r="L147" s="510">
        <f t="shared" si="68"/>
        <v>0</v>
      </c>
      <c r="M147" s="510">
        <f t="shared" si="68"/>
        <v>0</v>
      </c>
      <c r="N147" s="510">
        <f t="shared" si="68"/>
        <v>0</v>
      </c>
      <c r="O147" s="511">
        <f t="shared" si="68"/>
        <v>0</v>
      </c>
    </row>
    <row r="148" spans="1:15" s="496" customFormat="1">
      <c r="A148" s="1374"/>
      <c r="B148" s="508" t="s">
        <v>105</v>
      </c>
      <c r="C148" s="509" t="s">
        <v>103</v>
      </c>
      <c r="D148" s="510">
        <f>D146+D147</f>
        <v>0</v>
      </c>
      <c r="E148" s="510">
        <f t="shared" ref="E148:O148" si="69">E146+E147</f>
        <v>0</v>
      </c>
      <c r="F148" s="510">
        <f t="shared" si="69"/>
        <v>0</v>
      </c>
      <c r="G148" s="510">
        <f t="shared" si="69"/>
        <v>0</v>
      </c>
      <c r="H148" s="510">
        <f t="shared" si="69"/>
        <v>0</v>
      </c>
      <c r="I148" s="510">
        <f t="shared" si="69"/>
        <v>0</v>
      </c>
      <c r="J148" s="510">
        <f t="shared" si="69"/>
        <v>0</v>
      </c>
      <c r="K148" s="510">
        <f t="shared" si="69"/>
        <v>0</v>
      </c>
      <c r="L148" s="510">
        <f t="shared" si="69"/>
        <v>0</v>
      </c>
      <c r="M148" s="510">
        <f t="shared" si="69"/>
        <v>0</v>
      </c>
      <c r="N148" s="510">
        <f t="shared" si="69"/>
        <v>0</v>
      </c>
      <c r="O148" s="510">
        <f t="shared" si="69"/>
        <v>0</v>
      </c>
    </row>
    <row r="149" spans="1:15" s="496" customFormat="1" ht="15" thickBot="1">
      <c r="A149" s="1375"/>
      <c r="B149" s="512" t="s">
        <v>105</v>
      </c>
      <c r="C149" s="513" t="s">
        <v>106</v>
      </c>
      <c r="D149" s="514" t="e">
        <f t="shared" ref="D149:J149" si="70">D148/D33</f>
        <v>#DIV/0!</v>
      </c>
      <c r="E149" s="514" t="e">
        <f t="shared" si="70"/>
        <v>#DIV/0!</v>
      </c>
      <c r="F149" s="514" t="e">
        <f t="shared" si="70"/>
        <v>#DIV/0!</v>
      </c>
      <c r="G149" s="514" t="e">
        <f t="shared" si="70"/>
        <v>#DIV/0!</v>
      </c>
      <c r="H149" s="514" t="e">
        <f t="shared" si="70"/>
        <v>#DIV/0!</v>
      </c>
      <c r="I149" s="514" t="e">
        <f t="shared" si="70"/>
        <v>#DIV/0!</v>
      </c>
      <c r="J149" s="514" t="e">
        <f t="shared" si="70"/>
        <v>#DIV/0!</v>
      </c>
      <c r="K149" s="514"/>
      <c r="L149" s="514"/>
      <c r="M149" s="514"/>
      <c r="N149" s="514"/>
      <c r="O149" s="514"/>
    </row>
    <row r="150" spans="1:15" ht="16">
      <c r="A150" s="1367" t="s">
        <v>94</v>
      </c>
      <c r="B150" s="217" t="s">
        <v>68</v>
      </c>
      <c r="C150" s="173" t="s">
        <v>103</v>
      </c>
      <c r="D150" s="418">
        <f>D84/$N$130</f>
        <v>3.7435475252125481</v>
      </c>
      <c r="E150" s="426">
        <f>E84/$O$130</f>
        <v>3.2115427782366663</v>
      </c>
      <c r="F150" s="426">
        <f t="shared" ref="F150:K150" si="71">F84/$O$130</f>
        <v>3.5116826904530365</v>
      </c>
      <c r="G150" s="426">
        <f t="shared" si="71"/>
        <v>3.8034936359833842</v>
      </c>
      <c r="H150" s="426">
        <f t="shared" si="71"/>
        <v>4.0880173260396608</v>
      </c>
      <c r="I150" s="426">
        <f t="shared" si="71"/>
        <v>4.3660820274551897</v>
      </c>
      <c r="J150" s="426">
        <f t="shared" si="71"/>
        <v>4.638360520479238</v>
      </c>
      <c r="K150" s="426">
        <f t="shared" si="71"/>
        <v>0</v>
      </c>
      <c r="L150" s="218">
        <f>L84/L$130</f>
        <v>0</v>
      </c>
      <c r="M150" s="218">
        <f>M84/M$130</f>
        <v>0</v>
      </c>
      <c r="N150" s="218">
        <f>N84/N$130</f>
        <v>0</v>
      </c>
      <c r="O150" s="219">
        <f>O84/O$130</f>
        <v>0</v>
      </c>
    </row>
    <row r="151" spans="1:15" ht="16">
      <c r="A151" s="1368"/>
      <c r="B151" s="74" t="s">
        <v>71</v>
      </c>
      <c r="C151" s="174" t="s">
        <v>103</v>
      </c>
      <c r="D151" s="420">
        <f>D85/$N$131</f>
        <v>4.8406722476284623</v>
      </c>
      <c r="E151" s="427">
        <f>E85/$O131</f>
        <v>5.382478394172951</v>
      </c>
      <c r="F151" s="427">
        <f t="shared" ref="F151:K151" si="72">F85/$O131</f>
        <v>5.8855065972164065</v>
      </c>
      <c r="G151" s="427">
        <f t="shared" si="72"/>
        <v>6.3745756266386664</v>
      </c>
      <c r="H151" s="427">
        <f t="shared" si="72"/>
        <v>6.8514313686005188</v>
      </c>
      <c r="I151" s="427">
        <f t="shared" si="72"/>
        <v>7.3174619809571757</v>
      </c>
      <c r="J151" s="427">
        <f t="shared" si="72"/>
        <v>7.7737950293074078</v>
      </c>
      <c r="K151" s="427">
        <f t="shared" si="72"/>
        <v>0</v>
      </c>
      <c r="L151" s="188">
        <f>L85/L$131</f>
        <v>0</v>
      </c>
      <c r="M151" s="188">
        <f>M85/M$131</f>
        <v>0</v>
      </c>
      <c r="N151" s="188">
        <f>N85/N$131</f>
        <v>0</v>
      </c>
      <c r="O151" s="192">
        <f>O85/O$131</f>
        <v>0</v>
      </c>
    </row>
    <row r="152" spans="1:15">
      <c r="A152" s="1368"/>
      <c r="B152" s="74" t="s">
        <v>105</v>
      </c>
      <c r="C152" s="174" t="s">
        <v>103</v>
      </c>
      <c r="D152" s="420">
        <f>SUM(D150:D151)</f>
        <v>8.5842197728410099</v>
      </c>
      <c r="E152" s="427">
        <f t="shared" ref="E152:O152" si="73">SUM(E150:E151)</f>
        <v>8.5940211724096169</v>
      </c>
      <c r="F152" s="427">
        <f t="shared" si="73"/>
        <v>9.3971892876694429</v>
      </c>
      <c r="G152" s="427">
        <f t="shared" si="73"/>
        <v>10.178069262622051</v>
      </c>
      <c r="H152" s="427">
        <f t="shared" si="73"/>
        <v>10.939448694640181</v>
      </c>
      <c r="I152" s="427">
        <f t="shared" si="73"/>
        <v>11.683544008412365</v>
      </c>
      <c r="J152" s="427">
        <f t="shared" si="73"/>
        <v>12.412155549786647</v>
      </c>
      <c r="K152" s="427">
        <f t="shared" si="73"/>
        <v>0</v>
      </c>
      <c r="L152" s="188">
        <f t="shared" si="73"/>
        <v>0</v>
      </c>
      <c r="M152" s="188">
        <f t="shared" si="73"/>
        <v>0</v>
      </c>
      <c r="N152" s="188">
        <f t="shared" si="73"/>
        <v>0</v>
      </c>
      <c r="O152" s="188">
        <f t="shared" si="73"/>
        <v>0</v>
      </c>
    </row>
    <row r="153" spans="1:15" ht="15" thickBot="1">
      <c r="A153" s="1369"/>
      <c r="B153" s="75" t="s">
        <v>105</v>
      </c>
      <c r="C153" s="195" t="s">
        <v>107</v>
      </c>
      <c r="D153" s="422">
        <f t="shared" ref="D153:O153" si="74">D152/D45</f>
        <v>2.6288625374630285E-2</v>
      </c>
      <c r="E153" s="428">
        <f t="shared" si="74"/>
        <v>2.3897117418787736E-2</v>
      </c>
      <c r="F153" s="428">
        <f t="shared" si="74"/>
        <v>2.3195923384000939E-2</v>
      </c>
      <c r="G153" s="428">
        <f t="shared" si="74"/>
        <v>2.2586859824058236E-2</v>
      </c>
      <c r="H153" s="428">
        <f t="shared" si="74"/>
        <v>2.2050198934746214E-2</v>
      </c>
      <c r="I153" s="428">
        <f t="shared" si="74"/>
        <v>2.157178704594016E-2</v>
      </c>
      <c r="J153" s="428">
        <f t="shared" si="74"/>
        <v>2.1141149015916082E-2</v>
      </c>
      <c r="K153" s="428" t="e">
        <f t="shared" si="74"/>
        <v>#DIV/0!</v>
      </c>
      <c r="L153" s="251" t="e">
        <f t="shared" si="74"/>
        <v>#DIV/0!</v>
      </c>
      <c r="M153" s="251" t="e">
        <f t="shared" si="74"/>
        <v>#DIV/0!</v>
      </c>
      <c r="N153" s="251" t="e">
        <f t="shared" si="74"/>
        <v>#DIV/0!</v>
      </c>
      <c r="O153" s="251" t="e">
        <f t="shared" si="74"/>
        <v>#DIV/0!</v>
      </c>
    </row>
    <row r="154" spans="1:15" ht="16">
      <c r="A154" s="1367" t="s">
        <v>93</v>
      </c>
      <c r="B154" s="217" t="s">
        <v>68</v>
      </c>
      <c r="C154" s="173" t="s">
        <v>103</v>
      </c>
      <c r="D154" s="218">
        <f t="shared" ref="D154:M154" si="75">D86/D$130</f>
        <v>0</v>
      </c>
      <c r="E154" s="218">
        <f t="shared" si="75"/>
        <v>0</v>
      </c>
      <c r="F154" s="218">
        <f t="shared" si="75"/>
        <v>0</v>
      </c>
      <c r="G154" s="218">
        <f t="shared" si="75"/>
        <v>0</v>
      </c>
      <c r="H154" s="218">
        <f t="shared" si="75"/>
        <v>0</v>
      </c>
      <c r="I154" s="218">
        <f t="shared" si="75"/>
        <v>0</v>
      </c>
      <c r="J154" s="218">
        <f t="shared" si="75"/>
        <v>0</v>
      </c>
      <c r="K154" s="218">
        <f t="shared" si="75"/>
        <v>0</v>
      </c>
      <c r="L154" s="218">
        <f t="shared" si="75"/>
        <v>0</v>
      </c>
      <c r="M154" s="218">
        <f t="shared" si="75"/>
        <v>0</v>
      </c>
      <c r="N154" s="418">
        <f>N86/$N$130</f>
        <v>3.1587482637208053</v>
      </c>
      <c r="O154" s="418">
        <f>O86/$N$130</f>
        <v>3.4552787637578231</v>
      </c>
    </row>
    <row r="155" spans="1:15" ht="16">
      <c r="A155" s="1368"/>
      <c r="B155" s="74" t="s">
        <v>71</v>
      </c>
      <c r="C155" s="174" t="s">
        <v>103</v>
      </c>
      <c r="D155" s="188">
        <f t="shared" ref="D155:M155" si="76">D87/D$131</f>
        <v>0</v>
      </c>
      <c r="E155" s="188">
        <f t="shared" si="76"/>
        <v>0</v>
      </c>
      <c r="F155" s="188">
        <f t="shared" si="76"/>
        <v>0</v>
      </c>
      <c r="G155" s="188">
        <f t="shared" si="76"/>
        <v>0</v>
      </c>
      <c r="H155" s="188">
        <f t="shared" si="76"/>
        <v>0</v>
      </c>
      <c r="I155" s="188">
        <f t="shared" si="76"/>
        <v>0</v>
      </c>
      <c r="J155" s="188">
        <f t="shared" si="76"/>
        <v>0</v>
      </c>
      <c r="K155" s="188">
        <f t="shared" si="76"/>
        <v>0</v>
      </c>
      <c r="L155" s="188">
        <f t="shared" si="76"/>
        <v>0</v>
      </c>
      <c r="M155" s="188">
        <f t="shared" si="76"/>
        <v>0</v>
      </c>
      <c r="N155" s="420">
        <f>N87/$N$131</f>
        <v>4.0844853589964094</v>
      </c>
      <c r="O155" s="420">
        <f>O87/$N$131</f>
        <v>4.467920310052115</v>
      </c>
    </row>
    <row r="156" spans="1:15">
      <c r="A156" s="1368"/>
      <c r="B156" s="74" t="s">
        <v>105</v>
      </c>
      <c r="C156" s="174" t="s">
        <v>103</v>
      </c>
      <c r="D156" s="188">
        <f>SUM(D154:D155)</f>
        <v>0</v>
      </c>
      <c r="E156" s="188">
        <f t="shared" ref="E156:O156" si="77">SUM(E154:E155)</f>
        <v>0</v>
      </c>
      <c r="F156" s="188">
        <f t="shared" si="77"/>
        <v>0</v>
      </c>
      <c r="G156" s="188">
        <f t="shared" si="77"/>
        <v>0</v>
      </c>
      <c r="H156" s="188">
        <f t="shared" si="77"/>
        <v>0</v>
      </c>
      <c r="I156" s="188">
        <f t="shared" si="77"/>
        <v>0</v>
      </c>
      <c r="J156" s="188">
        <f t="shared" si="77"/>
        <v>0</v>
      </c>
      <c r="K156" s="188">
        <f t="shared" si="77"/>
        <v>0</v>
      </c>
      <c r="L156" s="188">
        <f t="shared" si="77"/>
        <v>0</v>
      </c>
      <c r="M156" s="188">
        <f t="shared" si="77"/>
        <v>0</v>
      </c>
      <c r="N156" s="420">
        <f t="shared" si="77"/>
        <v>7.2432336227172147</v>
      </c>
      <c r="O156" s="420">
        <f t="shared" si="77"/>
        <v>7.923199073809938</v>
      </c>
    </row>
    <row r="157" spans="1:15" ht="15" thickBot="1">
      <c r="A157" s="1369"/>
      <c r="B157" s="75" t="s">
        <v>105</v>
      </c>
      <c r="C157" s="195" t="s">
        <v>107</v>
      </c>
      <c r="D157" s="204"/>
      <c r="E157" s="204"/>
      <c r="F157" s="204"/>
      <c r="G157" s="204"/>
      <c r="H157" s="204"/>
      <c r="I157" s="204"/>
      <c r="J157" s="204"/>
      <c r="K157" s="204"/>
      <c r="L157" s="204"/>
      <c r="M157" s="204"/>
      <c r="N157" s="422">
        <f>N156/N57</f>
        <v>2.7820012607828768E-2</v>
      </c>
      <c r="O157" s="422">
        <f>O156/O57</f>
        <v>2.7000261118067109E-2</v>
      </c>
    </row>
    <row r="158" spans="1:15" s="496" customFormat="1" ht="16">
      <c r="A158" s="1373" t="s">
        <v>98</v>
      </c>
      <c r="B158" s="504" t="s">
        <v>68</v>
      </c>
      <c r="C158" s="505" t="s">
        <v>103</v>
      </c>
      <c r="D158" s="506">
        <f t="shared" ref="D158:O158" si="78">D88/D$130</f>
        <v>0</v>
      </c>
      <c r="E158" s="506">
        <f t="shared" si="78"/>
        <v>0</v>
      </c>
      <c r="F158" s="506">
        <f t="shared" si="78"/>
        <v>0</v>
      </c>
      <c r="G158" s="506">
        <f t="shared" si="78"/>
        <v>0</v>
      </c>
      <c r="H158" s="506">
        <f t="shared" si="78"/>
        <v>0</v>
      </c>
      <c r="I158" s="506">
        <f t="shared" si="78"/>
        <v>0</v>
      </c>
      <c r="J158" s="506">
        <f t="shared" si="78"/>
        <v>0</v>
      </c>
      <c r="K158" s="506">
        <f t="shared" si="78"/>
        <v>0</v>
      </c>
      <c r="L158" s="506">
        <f t="shared" si="78"/>
        <v>0</v>
      </c>
      <c r="M158" s="506">
        <f t="shared" si="78"/>
        <v>0</v>
      </c>
      <c r="N158" s="506">
        <f t="shared" si="78"/>
        <v>0</v>
      </c>
      <c r="O158" s="507">
        <f t="shared" si="78"/>
        <v>0</v>
      </c>
    </row>
    <row r="159" spans="1:15" s="496" customFormat="1" ht="16">
      <c r="A159" s="1374"/>
      <c r="B159" s="508" t="s">
        <v>71</v>
      </c>
      <c r="C159" s="509" t="s">
        <v>103</v>
      </c>
      <c r="D159" s="510">
        <f t="shared" ref="D159:O159" si="79">D89/D$131</f>
        <v>0</v>
      </c>
      <c r="E159" s="510">
        <f t="shared" si="79"/>
        <v>0</v>
      </c>
      <c r="F159" s="510">
        <f t="shared" si="79"/>
        <v>0</v>
      </c>
      <c r="G159" s="510">
        <f t="shared" si="79"/>
        <v>0</v>
      </c>
      <c r="H159" s="510">
        <f t="shared" si="79"/>
        <v>0</v>
      </c>
      <c r="I159" s="510">
        <f t="shared" si="79"/>
        <v>0</v>
      </c>
      <c r="J159" s="510">
        <f t="shared" si="79"/>
        <v>0</v>
      </c>
      <c r="K159" s="510">
        <f t="shared" si="79"/>
        <v>0</v>
      </c>
      <c r="L159" s="510">
        <f t="shared" si="79"/>
        <v>0</v>
      </c>
      <c r="M159" s="510">
        <f t="shared" si="79"/>
        <v>0</v>
      </c>
      <c r="N159" s="510">
        <f t="shared" si="79"/>
        <v>0</v>
      </c>
      <c r="O159" s="511">
        <f t="shared" si="79"/>
        <v>0</v>
      </c>
    </row>
    <row r="160" spans="1:15" s="496" customFormat="1">
      <c r="A160" s="1374"/>
      <c r="B160" s="508" t="s">
        <v>105</v>
      </c>
      <c r="C160" s="509" t="s">
        <v>103</v>
      </c>
      <c r="D160" s="510">
        <f>SUM(D158:D159)</f>
        <v>0</v>
      </c>
      <c r="E160" s="510">
        <f t="shared" ref="E160:O160" si="80">SUM(E158:E159)</f>
        <v>0</v>
      </c>
      <c r="F160" s="510">
        <f t="shared" si="80"/>
        <v>0</v>
      </c>
      <c r="G160" s="510">
        <f t="shared" si="80"/>
        <v>0</v>
      </c>
      <c r="H160" s="510">
        <f t="shared" si="80"/>
        <v>0</v>
      </c>
      <c r="I160" s="510">
        <f t="shared" si="80"/>
        <v>0</v>
      </c>
      <c r="J160" s="510">
        <f t="shared" si="80"/>
        <v>0</v>
      </c>
      <c r="K160" s="510">
        <f t="shared" si="80"/>
        <v>0</v>
      </c>
      <c r="L160" s="510">
        <f t="shared" si="80"/>
        <v>0</v>
      </c>
      <c r="M160" s="510">
        <f t="shared" si="80"/>
        <v>0</v>
      </c>
      <c r="N160" s="510">
        <f t="shared" si="80"/>
        <v>0</v>
      </c>
      <c r="O160" s="511">
        <f t="shared" si="80"/>
        <v>0</v>
      </c>
    </row>
    <row r="161" spans="1:15" s="496" customFormat="1" ht="15" thickBot="1">
      <c r="A161" s="1375"/>
      <c r="B161" s="512" t="s">
        <v>105</v>
      </c>
      <c r="C161" s="513" t="s">
        <v>107</v>
      </c>
      <c r="D161" s="514" t="e">
        <f t="shared" ref="D161:J161" si="81">D160/D39</f>
        <v>#DIV/0!</v>
      </c>
      <c r="E161" s="514" t="e">
        <f t="shared" si="81"/>
        <v>#DIV/0!</v>
      </c>
      <c r="F161" s="514" t="e">
        <f t="shared" si="81"/>
        <v>#DIV/0!</v>
      </c>
      <c r="G161" s="514" t="e">
        <f t="shared" si="81"/>
        <v>#DIV/0!</v>
      </c>
      <c r="H161" s="514" t="e">
        <f t="shared" si="81"/>
        <v>#DIV/0!</v>
      </c>
      <c r="I161" s="514" t="e">
        <f t="shared" si="81"/>
        <v>#DIV/0!</v>
      </c>
      <c r="J161" s="514" t="e">
        <f t="shared" si="81"/>
        <v>#DIV/0!</v>
      </c>
      <c r="K161" s="515"/>
      <c r="L161" s="515"/>
      <c r="M161" s="515"/>
      <c r="N161" s="515"/>
      <c r="O161" s="516"/>
    </row>
    <row r="162" spans="1:15" ht="16">
      <c r="A162" s="1367" t="s">
        <v>97</v>
      </c>
      <c r="B162" s="217" t="s">
        <v>68</v>
      </c>
      <c r="C162" s="173" t="s">
        <v>103</v>
      </c>
      <c r="D162" s="418">
        <f>D90/$N$130</f>
        <v>3.4330872681651625</v>
      </c>
      <c r="E162" s="426">
        <f>E90/$N$130</f>
        <v>3.6623978745142254</v>
      </c>
      <c r="F162" s="426">
        <f t="shared" ref="F162:K162" si="82">F90/$O130</f>
        <v>3.2011884671119288</v>
      </c>
      <c r="G162" s="426">
        <f t="shared" si="82"/>
        <v>3.4719845947074606</v>
      </c>
      <c r="H162" s="426">
        <f t="shared" si="82"/>
        <v>3.7359085875123728</v>
      </c>
      <c r="I162" s="426">
        <f t="shared" si="82"/>
        <v>3.9937530583575649</v>
      </c>
      <c r="J162" s="426">
        <f t="shared" si="82"/>
        <v>4.2461598118846302</v>
      </c>
      <c r="K162" s="426">
        <f t="shared" si="82"/>
        <v>0</v>
      </c>
      <c r="L162" s="218">
        <f>L90/L$130</f>
        <v>0</v>
      </c>
      <c r="M162" s="218">
        <f>M90/M$130</f>
        <v>0</v>
      </c>
      <c r="N162" s="218">
        <f>N90/N$130</f>
        <v>0</v>
      </c>
      <c r="O162" s="219">
        <f>O90/O$130</f>
        <v>0</v>
      </c>
    </row>
    <row r="163" spans="1:15" ht="16">
      <c r="A163" s="1368"/>
      <c r="B163" s="74" t="s">
        <v>71</v>
      </c>
      <c r="C163" s="174" t="s">
        <v>103</v>
      </c>
      <c r="D163" s="420">
        <f>D91/$N$131</f>
        <v>4.2174957093940941</v>
      </c>
      <c r="E163" s="427">
        <f>E91/$N$131</f>
        <v>6.573610692703352</v>
      </c>
      <c r="F163" s="427">
        <f t="shared" ref="F163:K163" si="83">F91/$O$131</f>
        <v>5.2514338266858092</v>
      </c>
      <c r="G163" s="427">
        <f t="shared" si="83"/>
        <v>5.695665073674423</v>
      </c>
      <c r="H163" s="427">
        <f t="shared" si="83"/>
        <v>6.1286228322471663</v>
      </c>
      <c r="I163" s="427">
        <f t="shared" si="83"/>
        <v>6.5516073550678273</v>
      </c>
      <c r="J163" s="427">
        <f t="shared" si="83"/>
        <v>6.9656714994235109</v>
      </c>
      <c r="K163" s="427">
        <f t="shared" si="83"/>
        <v>0</v>
      </c>
      <c r="L163" s="188">
        <f>L91/L$131</f>
        <v>0</v>
      </c>
      <c r="M163" s="188">
        <f>M91/M$131</f>
        <v>0</v>
      </c>
      <c r="N163" s="188">
        <f>N91/N$131</f>
        <v>0</v>
      </c>
      <c r="O163" s="192">
        <f>O91/O$131</f>
        <v>0</v>
      </c>
    </row>
    <row r="164" spans="1:15">
      <c r="A164" s="1368"/>
      <c r="B164" s="74" t="s">
        <v>105</v>
      </c>
      <c r="C164" s="174" t="s">
        <v>103</v>
      </c>
      <c r="D164" s="420">
        <f>SUM(D162:D163)</f>
        <v>7.6505829775592566</v>
      </c>
      <c r="E164" s="427">
        <f t="shared" ref="E164:O164" si="84">SUM(E162:E163)</f>
        <v>10.236008567217578</v>
      </c>
      <c r="F164" s="427">
        <f t="shared" si="84"/>
        <v>8.452622293797738</v>
      </c>
      <c r="G164" s="427">
        <f t="shared" si="84"/>
        <v>9.167649668381884</v>
      </c>
      <c r="H164" s="427">
        <f t="shared" si="84"/>
        <v>9.8645314197595386</v>
      </c>
      <c r="I164" s="427">
        <f t="shared" si="84"/>
        <v>10.545360413425392</v>
      </c>
      <c r="J164" s="427">
        <f t="shared" si="84"/>
        <v>11.211831311308142</v>
      </c>
      <c r="K164" s="427">
        <f t="shared" si="84"/>
        <v>0</v>
      </c>
      <c r="L164" s="188">
        <f t="shared" si="84"/>
        <v>0</v>
      </c>
      <c r="M164" s="188">
        <f t="shared" si="84"/>
        <v>0</v>
      </c>
      <c r="N164" s="188">
        <f t="shared" si="84"/>
        <v>0</v>
      </c>
      <c r="O164" s="188">
        <f t="shared" si="84"/>
        <v>0</v>
      </c>
    </row>
    <row r="165" spans="1:15" ht="15" thickBot="1">
      <c r="A165" s="1369"/>
      <c r="B165" s="75" t="s">
        <v>105</v>
      </c>
      <c r="C165" s="195" t="s">
        <v>107</v>
      </c>
      <c r="D165" s="422">
        <f t="shared" ref="D165:O165" si="85">D164/D51</f>
        <v>2.6296195700084429E-2</v>
      </c>
      <c r="E165" s="428">
        <f t="shared" si="85"/>
        <v>3.2276625801845843E-2</v>
      </c>
      <c r="F165" s="428">
        <f t="shared" si="85"/>
        <v>2.3605354013617592E-2</v>
      </c>
      <c r="G165" s="428">
        <f t="shared" si="85"/>
        <v>2.2974972630500964E-2</v>
      </c>
      <c r="H165" s="428">
        <f t="shared" si="85"/>
        <v>2.2420683713520656E-2</v>
      </c>
      <c r="I165" s="428">
        <f t="shared" si="85"/>
        <v>2.1927402899575826E-2</v>
      </c>
      <c r="J165" s="428">
        <f t="shared" si="85"/>
        <v>2.148401699929996E-2</v>
      </c>
      <c r="K165" s="428" t="e">
        <f t="shared" si="85"/>
        <v>#DIV/0!</v>
      </c>
      <c r="L165" s="251" t="e">
        <f t="shared" si="85"/>
        <v>#DIV/0!</v>
      </c>
      <c r="M165" s="251" t="e">
        <f t="shared" si="85"/>
        <v>#DIV/0!</v>
      </c>
      <c r="N165" s="251" t="e">
        <f t="shared" si="85"/>
        <v>#DIV/0!</v>
      </c>
      <c r="O165" s="251" t="e">
        <f t="shared" si="85"/>
        <v>#DIV/0!</v>
      </c>
    </row>
    <row r="166" spans="1:15" ht="16">
      <c r="A166" s="1367" t="s">
        <v>96</v>
      </c>
      <c r="B166" s="217" t="s">
        <v>68</v>
      </c>
      <c r="C166" s="173" t="s">
        <v>103</v>
      </c>
      <c r="D166" s="218">
        <f t="shared" ref="D166:O166" si="86">D92/D$130</f>
        <v>0</v>
      </c>
      <c r="E166" s="218">
        <f t="shared" si="86"/>
        <v>0</v>
      </c>
      <c r="F166" s="218">
        <f t="shared" si="86"/>
        <v>0</v>
      </c>
      <c r="G166" s="218">
        <f t="shared" si="86"/>
        <v>0</v>
      </c>
      <c r="H166" s="218">
        <f t="shared" si="86"/>
        <v>0</v>
      </c>
      <c r="I166" s="218">
        <f t="shared" si="86"/>
        <v>0</v>
      </c>
      <c r="J166" s="218">
        <f t="shared" si="86"/>
        <v>0</v>
      </c>
      <c r="K166" s="218">
        <f t="shared" si="86"/>
        <v>0</v>
      </c>
      <c r="L166" s="218">
        <f t="shared" si="86"/>
        <v>0</v>
      </c>
      <c r="M166" s="218">
        <f t="shared" si="86"/>
        <v>0</v>
      </c>
      <c r="N166" s="418">
        <f>N94/$N$130</f>
        <v>2.958124858109016</v>
      </c>
      <c r="O166" s="419">
        <f t="shared" si="86"/>
        <v>2.5523771001536102</v>
      </c>
    </row>
    <row r="167" spans="1:15" ht="16">
      <c r="A167" s="1368"/>
      <c r="B167" s="74" t="s">
        <v>71</v>
      </c>
      <c r="C167" s="174" t="s">
        <v>103</v>
      </c>
      <c r="D167" s="188">
        <f t="shared" ref="D167:O167" si="87">D93/D$131</f>
        <v>0</v>
      </c>
      <c r="E167" s="188">
        <f t="shared" si="87"/>
        <v>0</v>
      </c>
      <c r="F167" s="188">
        <f t="shared" si="87"/>
        <v>0</v>
      </c>
      <c r="G167" s="188">
        <f t="shared" si="87"/>
        <v>0</v>
      </c>
      <c r="H167" s="188">
        <f t="shared" si="87"/>
        <v>0</v>
      </c>
      <c r="I167" s="188">
        <f t="shared" si="87"/>
        <v>0</v>
      </c>
      <c r="J167" s="188">
        <f t="shared" si="87"/>
        <v>0</v>
      </c>
      <c r="K167" s="188">
        <f t="shared" si="87"/>
        <v>0</v>
      </c>
      <c r="L167" s="188">
        <f t="shared" si="87"/>
        <v>0</v>
      </c>
      <c r="M167" s="188">
        <f t="shared" si="87"/>
        <v>0</v>
      </c>
      <c r="N167" s="420">
        <f>N95/$N$131</f>
        <v>1.2842648064823314</v>
      </c>
      <c r="O167" s="421">
        <f t="shared" si="87"/>
        <v>2.8657799661326631</v>
      </c>
    </row>
    <row r="168" spans="1:15">
      <c r="A168" s="1368"/>
      <c r="B168" s="74" t="s">
        <v>105</v>
      </c>
      <c r="C168" s="174" t="s">
        <v>103</v>
      </c>
      <c r="D168" s="188">
        <f>SUM(D166:D167)</f>
        <v>0</v>
      </c>
      <c r="E168" s="188">
        <f t="shared" ref="E168:O168" si="88">SUM(E166:E167)</f>
        <v>0</v>
      </c>
      <c r="F168" s="188">
        <f t="shared" si="88"/>
        <v>0</v>
      </c>
      <c r="G168" s="188">
        <f t="shared" si="88"/>
        <v>0</v>
      </c>
      <c r="H168" s="188">
        <f t="shared" si="88"/>
        <v>0</v>
      </c>
      <c r="I168" s="188">
        <f t="shared" si="88"/>
        <v>0</v>
      </c>
      <c r="J168" s="188">
        <f t="shared" si="88"/>
        <v>0</v>
      </c>
      <c r="K168" s="188">
        <f t="shared" si="88"/>
        <v>0</v>
      </c>
      <c r="L168" s="188">
        <f t="shared" si="88"/>
        <v>0</v>
      </c>
      <c r="M168" s="188">
        <f t="shared" si="88"/>
        <v>0</v>
      </c>
      <c r="N168" s="420">
        <f t="shared" si="88"/>
        <v>4.2423896645913475</v>
      </c>
      <c r="O168" s="420">
        <f t="shared" si="88"/>
        <v>5.4181570662862732</v>
      </c>
    </row>
    <row r="169" spans="1:15" ht="15" thickBot="1">
      <c r="A169" s="1368"/>
      <c r="B169" s="253" t="s">
        <v>105</v>
      </c>
      <c r="C169" s="254" t="s">
        <v>107</v>
      </c>
      <c r="D169" s="255"/>
      <c r="E169" s="255"/>
      <c r="F169" s="255"/>
      <c r="G169" s="255"/>
      <c r="H169" s="255"/>
      <c r="I169" s="255"/>
      <c r="J169" s="255"/>
      <c r="K169" s="255"/>
      <c r="L169" s="255"/>
      <c r="M169" s="255"/>
      <c r="N169" s="423">
        <f>N168/N63</f>
        <v>1.7784161997003653E-2</v>
      </c>
      <c r="O169" s="423">
        <f>O168/O63</f>
        <v>2.0465664538785174E-2</v>
      </c>
    </row>
    <row r="170" spans="1:15" ht="16">
      <c r="A170" s="1367" t="s">
        <v>40</v>
      </c>
      <c r="B170" s="217" t="s">
        <v>68</v>
      </c>
      <c r="C170" s="173" t="s">
        <v>103</v>
      </c>
      <c r="D170" s="218">
        <f t="shared" ref="D170:O170" si="89">D94/D$123</f>
        <v>4.1802906959984103</v>
      </c>
      <c r="E170" s="218">
        <f t="shared" si="89"/>
        <v>4.3047349762012184</v>
      </c>
      <c r="F170" s="218">
        <f t="shared" si="89"/>
        <v>4.4279912750524471</v>
      </c>
      <c r="G170" s="218">
        <f t="shared" si="89"/>
        <v>4.5501142217964299</v>
      </c>
      <c r="H170" s="218">
        <f t="shared" si="89"/>
        <v>3.4741708496051258</v>
      </c>
      <c r="I170" s="218">
        <f t="shared" si="89"/>
        <v>3.6519364508245147</v>
      </c>
      <c r="J170" s="218">
        <f t="shared" si="89"/>
        <v>3.8268620449310347</v>
      </c>
      <c r="K170" s="218">
        <f t="shared" si="89"/>
        <v>0</v>
      </c>
      <c r="L170" s="218">
        <f t="shared" si="89"/>
        <v>0</v>
      </c>
      <c r="M170" s="218">
        <f t="shared" si="89"/>
        <v>0</v>
      </c>
      <c r="N170" s="218">
        <f t="shared" si="89"/>
        <v>3.9275943494220553</v>
      </c>
      <c r="O170" s="219">
        <f t="shared" si="89"/>
        <v>4.054598874162628</v>
      </c>
    </row>
    <row r="171" spans="1:15" ht="16">
      <c r="A171" s="1368"/>
      <c r="B171" s="74" t="s">
        <v>71</v>
      </c>
      <c r="C171" s="174" t="s">
        <v>103</v>
      </c>
      <c r="D171" s="188">
        <f t="shared" ref="D171:O171" si="90">D95/D$124</f>
        <v>2.8210339631945547</v>
      </c>
      <c r="E171" s="188">
        <f t="shared" si="90"/>
        <v>2.905014137423461</v>
      </c>
      <c r="F171" s="188">
        <f t="shared" si="90"/>
        <v>2.9881926124443061</v>
      </c>
      <c r="G171" s="188">
        <f t="shared" si="90"/>
        <v>3.0706062543424544</v>
      </c>
      <c r="H171" s="188">
        <f t="shared" si="90"/>
        <v>3.2504332579941084</v>
      </c>
      <c r="I171" s="188">
        <f t="shared" si="90"/>
        <v>3.4167507038953353</v>
      </c>
      <c r="J171" s="188">
        <f t="shared" si="90"/>
        <v>3.5804110399501483</v>
      </c>
      <c r="K171" s="188">
        <f t="shared" si="90"/>
        <v>0</v>
      </c>
      <c r="L171" s="188">
        <f t="shared" si="90"/>
        <v>0</v>
      </c>
      <c r="M171" s="188">
        <f t="shared" si="90"/>
        <v>0</v>
      </c>
      <c r="N171" s="188">
        <f t="shared" si="90"/>
        <v>2.6505039623145992</v>
      </c>
      <c r="O171" s="192">
        <f t="shared" si="90"/>
        <v>2.736211896003399</v>
      </c>
    </row>
    <row r="172" spans="1:15">
      <c r="A172" s="1368"/>
      <c r="B172" s="74" t="s">
        <v>105</v>
      </c>
      <c r="C172" s="174" t="s">
        <v>103</v>
      </c>
      <c r="D172" s="188">
        <f>SUM(D170:D171)</f>
        <v>7.0013246591929654</v>
      </c>
      <c r="E172" s="188">
        <f t="shared" ref="E172:O172" si="91">SUM(E170:E171)</f>
        <v>7.2097491136246799</v>
      </c>
      <c r="F172" s="188">
        <f t="shared" si="91"/>
        <v>7.4161838874967536</v>
      </c>
      <c r="G172" s="188">
        <f t="shared" si="91"/>
        <v>7.6207204761388843</v>
      </c>
      <c r="H172" s="188">
        <f t="shared" si="91"/>
        <v>6.7246041075992338</v>
      </c>
      <c r="I172" s="188">
        <f t="shared" si="91"/>
        <v>7.06868715471985</v>
      </c>
      <c r="J172" s="188">
        <f t="shared" si="91"/>
        <v>7.407273084881183</v>
      </c>
      <c r="K172" s="188">
        <f t="shared" si="91"/>
        <v>0</v>
      </c>
      <c r="L172" s="188">
        <f t="shared" si="91"/>
        <v>0</v>
      </c>
      <c r="M172" s="188">
        <f t="shared" si="91"/>
        <v>0</v>
      </c>
      <c r="N172" s="188">
        <f t="shared" si="91"/>
        <v>6.5780983117366549</v>
      </c>
      <c r="O172" s="188">
        <f t="shared" si="91"/>
        <v>6.7908107701660274</v>
      </c>
    </row>
    <row r="173" spans="1:15" ht="15" thickBot="1">
      <c r="A173" s="1369"/>
      <c r="B173" s="75" t="s">
        <v>105</v>
      </c>
      <c r="C173" s="195" t="s">
        <v>107</v>
      </c>
      <c r="D173" s="251">
        <f t="shared" ref="D173:J173" si="92">D172/D69</f>
        <v>2.7008259050945577E-2</v>
      </c>
      <c r="E173" s="251">
        <f t="shared" si="92"/>
        <v>2.6745452213227494E-2</v>
      </c>
      <c r="F173" s="251">
        <f t="shared" si="92"/>
        <v>2.6494953778241005E-2</v>
      </c>
      <c r="G173" s="251">
        <f t="shared" si="92"/>
        <v>2.6255763515447259E-2</v>
      </c>
      <c r="H173" s="251">
        <f t="shared" si="92"/>
        <v>2.237138210207652E-2</v>
      </c>
      <c r="I173" s="251">
        <f t="shared" si="92"/>
        <v>2.2002336499375035E-2</v>
      </c>
      <c r="J173" s="251">
        <f t="shared" si="92"/>
        <v>2.1661852986953598E-2</v>
      </c>
      <c r="K173" s="251"/>
      <c r="L173" s="251"/>
      <c r="M173" s="251"/>
      <c r="N173" s="251">
        <f>N172/N69</f>
        <v>2.7575488169922672E-2</v>
      </c>
      <c r="O173" s="251">
        <f>O172/O69</f>
        <v>2.7284507558702792E-2</v>
      </c>
    </row>
    <row r="174" spans="1:15">
      <c r="E174">
        <f>SUM(H176:J176)</f>
        <v>92</v>
      </c>
    </row>
    <row r="175" spans="1:15">
      <c r="D175">
        <f>SUM(N176:O176,D176:G176)</f>
        <v>181</v>
      </c>
      <c r="E175">
        <f>SUM(H176:M176)</f>
        <v>184</v>
      </c>
    </row>
    <row r="176" spans="1:15">
      <c r="C176" s="176" t="s">
        <v>472</v>
      </c>
      <c r="D176">
        <v>31</v>
      </c>
      <c r="E176">
        <v>28</v>
      </c>
      <c r="F176">
        <v>31</v>
      </c>
      <c r="G176">
        <v>30</v>
      </c>
      <c r="H176">
        <v>31</v>
      </c>
      <c r="I176">
        <v>30</v>
      </c>
      <c r="J176">
        <v>31</v>
      </c>
      <c r="K176">
        <v>31</v>
      </c>
      <c r="L176">
        <v>30</v>
      </c>
      <c r="M176">
        <v>31</v>
      </c>
      <c r="N176">
        <v>30</v>
      </c>
      <c r="O176">
        <v>31</v>
      </c>
    </row>
    <row r="177" spans="1:18">
      <c r="A177" t="s">
        <v>473</v>
      </c>
    </row>
    <row r="178" spans="1:18">
      <c r="Q178" t="s">
        <v>476</v>
      </c>
      <c r="R178" t="s">
        <v>477</v>
      </c>
    </row>
    <row r="179" spans="1:18">
      <c r="A179" t="s">
        <v>85</v>
      </c>
      <c r="D179" s="638">
        <f>D176*D134</f>
        <v>265.49089504692864</v>
      </c>
      <c r="E179" s="638">
        <f t="shared" ref="E179:O179" si="93">E176*E134</f>
        <v>263.02904745815187</v>
      </c>
      <c r="F179" s="638">
        <f t="shared" si="93"/>
        <v>318.89375776734079</v>
      </c>
      <c r="G179" s="638">
        <f t="shared" si="93"/>
        <v>369.26826398074496</v>
      </c>
      <c r="H179" s="638">
        <f t="shared" si="93"/>
        <v>274.22575594065734</v>
      </c>
      <c r="I179" s="638">
        <f t="shared" si="93"/>
        <v>286.65929187476388</v>
      </c>
      <c r="J179" s="638">
        <f t="shared" si="93"/>
        <v>285.59830479263485</v>
      </c>
      <c r="K179" s="638">
        <f t="shared" si="93"/>
        <v>264.56876368218138</v>
      </c>
      <c r="L179" s="638">
        <f t="shared" si="93"/>
        <v>235.27733307701018</v>
      </c>
      <c r="M179" s="638">
        <f t="shared" si="93"/>
        <v>225.49488319048109</v>
      </c>
      <c r="N179" s="638">
        <f t="shared" si="93"/>
        <v>231.27486234716321</v>
      </c>
      <c r="O179" s="638">
        <f t="shared" si="93"/>
        <v>248.16750613593513</v>
      </c>
      <c r="Q179" s="249">
        <f>D179+E179+F179+G179+N179+O179</f>
        <v>1696.1243327362645</v>
      </c>
      <c r="R179" s="249">
        <f>H179+I179+J179+K179+L179+M179</f>
        <v>1571.8243325577284</v>
      </c>
    </row>
    <row r="180" spans="1:18">
      <c r="D180" s="636"/>
    </row>
    <row r="181" spans="1:18">
      <c r="A181" t="s">
        <v>86</v>
      </c>
      <c r="D181" s="638">
        <f>D176*D136</f>
        <v>306.339776444157</v>
      </c>
      <c r="E181" s="638">
        <f t="shared" ref="E181:O181" si="94">E176*E136</f>
        <v>276.69399162698051</v>
      </c>
      <c r="F181" s="638">
        <f t="shared" si="94"/>
        <v>306.339776444157</v>
      </c>
      <c r="G181" s="638">
        <f t="shared" si="94"/>
        <v>296.45784817176479</v>
      </c>
      <c r="H181" s="638">
        <f t="shared" si="94"/>
        <v>227.84020873034177</v>
      </c>
      <c r="I181" s="638">
        <f t="shared" si="94"/>
        <v>220.49052457775011</v>
      </c>
      <c r="J181" s="638">
        <f t="shared" si="94"/>
        <v>227.84020873034177</v>
      </c>
      <c r="K181" s="638">
        <f t="shared" si="94"/>
        <v>227.84020873034177</v>
      </c>
      <c r="L181" s="638">
        <f t="shared" si="94"/>
        <v>220.49052457775011</v>
      </c>
      <c r="M181" s="638">
        <f t="shared" si="94"/>
        <v>227.84020873034177</v>
      </c>
      <c r="N181" s="638">
        <f t="shared" si="94"/>
        <v>296.45784817176479</v>
      </c>
      <c r="O181" s="638">
        <f t="shared" si="94"/>
        <v>306.339776444157</v>
      </c>
      <c r="Q181" s="249">
        <f>D181+E181+F181+G181+N181+O181</f>
        <v>1788.6290173029811</v>
      </c>
      <c r="R181" s="249">
        <f>H181+I181+J181+K181+L181+M181</f>
        <v>1352.3418840768675</v>
      </c>
    </row>
    <row r="182" spans="1:18">
      <c r="D182" s="636"/>
      <c r="E182" s="636"/>
      <c r="F182" s="636"/>
      <c r="G182" s="636"/>
      <c r="H182" s="636"/>
      <c r="I182" s="636"/>
      <c r="J182" s="636"/>
      <c r="K182" s="636"/>
      <c r="L182" s="636"/>
      <c r="M182" s="636"/>
      <c r="N182" s="636"/>
      <c r="O182" s="636"/>
    </row>
    <row r="183" spans="1:18">
      <c r="A183" t="s">
        <v>87</v>
      </c>
      <c r="D183" s="638">
        <f>D176*D140</f>
        <v>0</v>
      </c>
      <c r="E183" s="638">
        <f t="shared" ref="E183:O183" si="95">E176*E140</f>
        <v>0</v>
      </c>
      <c r="F183" s="638">
        <f t="shared" si="95"/>
        <v>0</v>
      </c>
      <c r="G183" s="638">
        <f t="shared" si="95"/>
        <v>85.91044604058402</v>
      </c>
      <c r="H183" s="638">
        <f t="shared" si="95"/>
        <v>57.790375803793395</v>
      </c>
      <c r="I183" s="638">
        <f t="shared" si="95"/>
        <v>68.415181372189267</v>
      </c>
      <c r="J183" s="638">
        <f t="shared" si="95"/>
        <v>82.693387237799243</v>
      </c>
      <c r="K183" s="638">
        <f t="shared" si="95"/>
        <v>94.034331084959973</v>
      </c>
      <c r="L183" s="638">
        <f t="shared" si="95"/>
        <v>101.48388762228393</v>
      </c>
      <c r="M183" s="638">
        <f t="shared" si="95"/>
        <v>115.28746861879389</v>
      </c>
      <c r="N183" s="638">
        <f t="shared" si="95"/>
        <v>0</v>
      </c>
      <c r="O183" s="638">
        <f t="shared" si="95"/>
        <v>0</v>
      </c>
      <c r="Q183" s="249">
        <f>D183+E183+F183+G183+N183+O183</f>
        <v>85.91044604058402</v>
      </c>
      <c r="R183" s="249">
        <f>H183+I183+J183+K183+L183+M183</f>
        <v>519.70463173981966</v>
      </c>
    </row>
    <row r="184" spans="1:18">
      <c r="D184" s="636"/>
      <c r="E184" s="636"/>
      <c r="F184" s="636"/>
      <c r="G184" s="636"/>
      <c r="H184" s="636"/>
      <c r="I184" s="636"/>
      <c r="J184" s="636"/>
      <c r="K184" s="636"/>
      <c r="L184" s="636"/>
      <c r="M184" s="636"/>
      <c r="N184" s="636"/>
      <c r="O184" s="636"/>
    </row>
    <row r="185" spans="1:18">
      <c r="D185" s="636"/>
      <c r="E185" s="636"/>
      <c r="F185" s="636"/>
      <c r="G185" s="636"/>
      <c r="H185" s="636"/>
      <c r="I185" s="636"/>
      <c r="J185" s="636"/>
      <c r="K185" s="636"/>
      <c r="L185" s="636"/>
      <c r="M185" s="636"/>
      <c r="N185" s="636"/>
      <c r="O185" s="636"/>
    </row>
    <row r="186" spans="1:18">
      <c r="D186" s="636"/>
      <c r="E186" s="636"/>
      <c r="F186" s="636"/>
      <c r="G186" s="636"/>
      <c r="H186" s="636"/>
      <c r="I186" s="636"/>
      <c r="J186" s="636"/>
      <c r="K186" s="636"/>
      <c r="L186" s="636"/>
      <c r="M186" s="636"/>
      <c r="N186" s="636"/>
      <c r="O186" s="636"/>
    </row>
    <row r="187" spans="1:18">
      <c r="A187" t="s">
        <v>84</v>
      </c>
      <c r="D187" s="638">
        <f>D176*D144</f>
        <v>0</v>
      </c>
      <c r="E187" s="638">
        <f t="shared" ref="E187:O187" si="96">E176*E144</f>
        <v>0</v>
      </c>
      <c r="F187" s="638">
        <f t="shared" si="96"/>
        <v>0</v>
      </c>
      <c r="G187" s="638">
        <f t="shared" si="96"/>
        <v>85.042195273576098</v>
      </c>
      <c r="H187" s="638">
        <f t="shared" si="96"/>
        <v>56.945503839194792</v>
      </c>
      <c r="I187" s="638">
        <f t="shared" si="96"/>
        <v>68.579071905695542</v>
      </c>
      <c r="J187" s="638">
        <f t="shared" si="96"/>
        <v>83.793801672597368</v>
      </c>
      <c r="K187" s="638">
        <f t="shared" si="96"/>
        <v>96.008242161671575</v>
      </c>
      <c r="L187" s="638">
        <f t="shared" si="96"/>
        <v>104.1975059836553</v>
      </c>
      <c r="M187" s="638">
        <f t="shared" si="96"/>
        <v>118.88731612089164</v>
      </c>
      <c r="N187" s="638">
        <f t="shared" si="96"/>
        <v>0</v>
      </c>
      <c r="O187" s="638">
        <f t="shared" si="96"/>
        <v>0</v>
      </c>
      <c r="Q187" s="249">
        <f>D187+E187+F187+G187+N187+O187</f>
        <v>85.042195273576098</v>
      </c>
      <c r="R187" s="249">
        <f>H187+I187+J187+K187+L187+M187</f>
        <v>528.41144168370624</v>
      </c>
    </row>
    <row r="188" spans="1:18">
      <c r="D188" s="636"/>
      <c r="E188" s="636"/>
      <c r="F188" s="636"/>
      <c r="G188" s="636"/>
      <c r="H188" s="636"/>
      <c r="I188" s="636"/>
      <c r="J188" s="636"/>
      <c r="K188" s="636"/>
      <c r="L188" s="636"/>
      <c r="M188" s="636"/>
      <c r="N188" s="636"/>
      <c r="O188" s="636"/>
    </row>
    <row r="189" spans="1:18">
      <c r="D189" s="636"/>
      <c r="E189" s="636"/>
      <c r="F189" s="636"/>
      <c r="G189" s="636"/>
      <c r="H189" s="636"/>
      <c r="I189" s="636"/>
      <c r="J189" s="636"/>
      <c r="K189" s="636"/>
      <c r="L189" s="636"/>
      <c r="M189" s="636"/>
      <c r="N189" s="636"/>
      <c r="O189" s="636"/>
    </row>
    <row r="190" spans="1:18">
      <c r="D190" s="636"/>
      <c r="E190" s="636"/>
      <c r="F190" s="636"/>
      <c r="G190" s="636"/>
      <c r="H190" s="636"/>
      <c r="I190" s="636"/>
      <c r="J190" s="636"/>
      <c r="K190" s="636"/>
      <c r="L190" s="636"/>
      <c r="M190" s="636"/>
      <c r="N190" s="636"/>
      <c r="O190" s="636"/>
    </row>
    <row r="191" spans="1:18">
      <c r="A191" t="s">
        <v>95</v>
      </c>
    </row>
    <row r="192" spans="1:18">
      <c r="D192" s="637"/>
      <c r="E192" s="637"/>
      <c r="F192" s="637"/>
      <c r="G192" s="637"/>
      <c r="H192" s="637"/>
      <c r="I192" s="637"/>
      <c r="J192" s="637"/>
      <c r="K192" s="637"/>
      <c r="L192" s="637"/>
      <c r="M192" s="637"/>
      <c r="N192" s="637"/>
      <c r="O192" s="637"/>
    </row>
    <row r="195" spans="1:18">
      <c r="A195" t="s">
        <v>94</v>
      </c>
      <c r="D195" s="249">
        <f>D176*D152</f>
        <v>266.11081295807128</v>
      </c>
      <c r="E195" s="249">
        <f t="shared" ref="E195:O195" si="97">E176*E152</f>
        <v>240.63259282746927</v>
      </c>
      <c r="F195" s="249">
        <f t="shared" si="97"/>
        <v>291.31286791775273</v>
      </c>
      <c r="G195" s="249">
        <f t="shared" si="97"/>
        <v>305.34207787866154</v>
      </c>
      <c r="H195" s="249">
        <f t="shared" si="97"/>
        <v>339.12290953384559</v>
      </c>
      <c r="I195" s="249">
        <f t="shared" si="97"/>
        <v>350.50632025237098</v>
      </c>
      <c r="J195" s="249">
        <f t="shared" si="97"/>
        <v>384.77682204338606</v>
      </c>
      <c r="K195" s="249">
        <f t="shared" si="97"/>
        <v>0</v>
      </c>
      <c r="L195" s="249">
        <f t="shared" si="97"/>
        <v>0</v>
      </c>
      <c r="M195" s="249">
        <f t="shared" si="97"/>
        <v>0</v>
      </c>
      <c r="N195" s="249">
        <f t="shared" si="97"/>
        <v>0</v>
      </c>
      <c r="O195" s="249">
        <f t="shared" si="97"/>
        <v>0</v>
      </c>
      <c r="Q195" s="249">
        <f>D195+E195+F195+G195+N195+O195</f>
        <v>1103.3983515819548</v>
      </c>
      <c r="R195" s="249">
        <f>H195+I195+J195+K195+L195+M195</f>
        <v>1074.4060518296026</v>
      </c>
    </row>
    <row r="199" spans="1:18">
      <c r="A199" t="s">
        <v>93</v>
      </c>
      <c r="D199" s="249">
        <f>D176*D156</f>
        <v>0</v>
      </c>
      <c r="E199" s="249">
        <f t="shared" ref="E199:O199" si="98">E176*E156</f>
        <v>0</v>
      </c>
      <c r="F199" s="249">
        <f t="shared" si="98"/>
        <v>0</v>
      </c>
      <c r="G199" s="249">
        <f t="shared" si="98"/>
        <v>0</v>
      </c>
      <c r="H199" s="249">
        <f t="shared" si="98"/>
        <v>0</v>
      </c>
      <c r="I199" s="249">
        <f t="shared" si="98"/>
        <v>0</v>
      </c>
      <c r="J199" s="249">
        <f t="shared" si="98"/>
        <v>0</v>
      </c>
      <c r="K199" s="249">
        <f t="shared" si="98"/>
        <v>0</v>
      </c>
      <c r="L199" s="249">
        <f t="shared" si="98"/>
        <v>0</v>
      </c>
      <c r="M199" s="249">
        <f t="shared" si="98"/>
        <v>0</v>
      </c>
      <c r="N199" s="249">
        <f t="shared" si="98"/>
        <v>217.29700868151644</v>
      </c>
      <c r="O199" s="249">
        <f t="shared" si="98"/>
        <v>245.61917128810808</v>
      </c>
      <c r="Q199" s="249">
        <f>D199+E199+F199+G199+N199+O199</f>
        <v>462.91617996962452</v>
      </c>
      <c r="R199" s="249">
        <f>H199+I199+J199+K199+L199+M199</f>
        <v>0</v>
      </c>
    </row>
    <row r="203" spans="1:18">
      <c r="A203" t="s">
        <v>98</v>
      </c>
    </row>
    <row r="207" spans="1:18">
      <c r="A207" t="s">
        <v>97</v>
      </c>
      <c r="D207" s="249">
        <f>D176*D164</f>
        <v>237.16807230433696</v>
      </c>
      <c r="E207" s="249">
        <f t="shared" ref="E207:O207" si="99">E176*E164</f>
        <v>286.60823988209216</v>
      </c>
      <c r="F207" s="249">
        <f t="shared" si="99"/>
        <v>262.03129110772988</v>
      </c>
      <c r="G207" s="249">
        <f t="shared" si="99"/>
        <v>275.02949005145649</v>
      </c>
      <c r="H207" s="249">
        <f t="shared" si="99"/>
        <v>305.80047401254569</v>
      </c>
      <c r="I207" s="249">
        <f t="shared" si="99"/>
        <v>316.36081240276178</v>
      </c>
      <c r="J207" s="249">
        <f t="shared" si="99"/>
        <v>347.56677065055243</v>
      </c>
      <c r="K207" s="249">
        <f t="shared" si="99"/>
        <v>0</v>
      </c>
      <c r="L207" s="249">
        <f t="shared" si="99"/>
        <v>0</v>
      </c>
      <c r="M207" s="249">
        <f t="shared" si="99"/>
        <v>0</v>
      </c>
      <c r="N207" s="249">
        <f t="shared" si="99"/>
        <v>0</v>
      </c>
      <c r="O207" s="249">
        <f t="shared" si="99"/>
        <v>0</v>
      </c>
      <c r="Q207" s="249">
        <f>D207+E207+F207+G207+N207+O207</f>
        <v>1060.8370933456154</v>
      </c>
      <c r="R207" s="249">
        <f>H207+I207+J207+K207+L207+M207</f>
        <v>969.72805706585996</v>
      </c>
    </row>
    <row r="211" spans="1:18">
      <c r="A211" t="s">
        <v>96</v>
      </c>
      <c r="D211" s="249">
        <f>D176*D168</f>
        <v>0</v>
      </c>
      <c r="E211" s="249">
        <f t="shared" ref="E211:O211" si="100">E176*E168</f>
        <v>0</v>
      </c>
      <c r="F211" s="249">
        <f t="shared" si="100"/>
        <v>0</v>
      </c>
      <c r="G211" s="249">
        <f t="shared" si="100"/>
        <v>0</v>
      </c>
      <c r="H211" s="249">
        <f t="shared" si="100"/>
        <v>0</v>
      </c>
      <c r="I211" s="249">
        <f t="shared" si="100"/>
        <v>0</v>
      </c>
      <c r="J211" s="249">
        <f t="shared" si="100"/>
        <v>0</v>
      </c>
      <c r="K211" s="249">
        <f t="shared" si="100"/>
        <v>0</v>
      </c>
      <c r="L211" s="249">
        <f t="shared" si="100"/>
        <v>0</v>
      </c>
      <c r="M211" s="249">
        <f t="shared" si="100"/>
        <v>0</v>
      </c>
      <c r="N211" s="249">
        <f t="shared" si="100"/>
        <v>127.27168993774042</v>
      </c>
      <c r="O211" s="249">
        <f t="shared" si="100"/>
        <v>167.96286905487446</v>
      </c>
      <c r="Q211" s="249">
        <f>D211+E211+F211+G211+N211+O211</f>
        <v>295.23455899261489</v>
      </c>
      <c r="R211" s="249">
        <f>H211+I211+J211+K211+L211+M211</f>
        <v>0</v>
      </c>
    </row>
    <row r="215" spans="1:18">
      <c r="A215" t="s">
        <v>40</v>
      </c>
      <c r="D215" s="249">
        <f>D176*D172</f>
        <v>217.04106443498193</v>
      </c>
      <c r="E215" s="249">
        <f t="shared" ref="E215:O215" si="101">E176*E172</f>
        <v>201.87297518149103</v>
      </c>
      <c r="F215" s="249">
        <f t="shared" si="101"/>
        <v>229.90170051239937</v>
      </c>
      <c r="G215" s="249">
        <f t="shared" si="101"/>
        <v>228.62161428416653</v>
      </c>
      <c r="H215" s="249">
        <f t="shared" si="101"/>
        <v>208.46272733557623</v>
      </c>
      <c r="I215" s="249">
        <f t="shared" si="101"/>
        <v>212.06061464159549</v>
      </c>
      <c r="J215" s="249">
        <f t="shared" si="101"/>
        <v>229.62546563131667</v>
      </c>
      <c r="K215" s="249">
        <f t="shared" si="101"/>
        <v>0</v>
      </c>
      <c r="L215" s="249">
        <f t="shared" si="101"/>
        <v>0</v>
      </c>
      <c r="M215" s="249">
        <f t="shared" si="101"/>
        <v>0</v>
      </c>
      <c r="N215" s="249">
        <f t="shared" si="101"/>
        <v>197.34294935209965</v>
      </c>
      <c r="O215" s="249">
        <f t="shared" si="101"/>
        <v>210.51513387514686</v>
      </c>
      <c r="Q215" s="249">
        <f>D215+E215+F215+G215+N215+O215</f>
        <v>1285.2954376402854</v>
      </c>
      <c r="R215" s="249">
        <f>H215+I215+J215+K215+L215+M215</f>
        <v>650.14880760848837</v>
      </c>
    </row>
  </sheetData>
  <sheetProtection password="A4FF" sheet="1" objects="1" scenarios="1"/>
  <mergeCells count="49">
    <mergeCell ref="R18:W18"/>
    <mergeCell ref="H125:M125"/>
    <mergeCell ref="D125:G125"/>
    <mergeCell ref="A50:A55"/>
    <mergeCell ref="D3:G3"/>
    <mergeCell ref="H3:M3"/>
    <mergeCell ref="N3:O3"/>
    <mergeCell ref="A5:A16"/>
    <mergeCell ref="A17:A19"/>
    <mergeCell ref="A20:A25"/>
    <mergeCell ref="A26:A31"/>
    <mergeCell ref="A32:A37"/>
    <mergeCell ref="A38:A43"/>
    <mergeCell ref="A44:A49"/>
    <mergeCell ref="A94:A95"/>
    <mergeCell ref="A56:A61"/>
    <mergeCell ref="A62:A67"/>
    <mergeCell ref="A68:A73"/>
    <mergeCell ref="A78:A79"/>
    <mergeCell ref="A80:A81"/>
    <mergeCell ref="A82:A83"/>
    <mergeCell ref="A84:A85"/>
    <mergeCell ref="A86:A87"/>
    <mergeCell ref="A88:A89"/>
    <mergeCell ref="A90:A91"/>
    <mergeCell ref="A92:A93"/>
    <mergeCell ref="A136:A137"/>
    <mergeCell ref="D100:G100"/>
    <mergeCell ref="H100:M100"/>
    <mergeCell ref="N100:O100"/>
    <mergeCell ref="A105:A106"/>
    <mergeCell ref="A107:A108"/>
    <mergeCell ref="D109:G109"/>
    <mergeCell ref="H109:M109"/>
    <mergeCell ref="N109:O109"/>
    <mergeCell ref="A114:A115"/>
    <mergeCell ref="A116:A117"/>
    <mergeCell ref="A123:A124"/>
    <mergeCell ref="A130:A131"/>
    <mergeCell ref="A134:A135"/>
    <mergeCell ref="A162:A165"/>
    <mergeCell ref="A166:A169"/>
    <mergeCell ref="A170:A173"/>
    <mergeCell ref="A138:A141"/>
    <mergeCell ref="A142:A145"/>
    <mergeCell ref="A146:A149"/>
    <mergeCell ref="A150:A153"/>
    <mergeCell ref="A154:A157"/>
    <mergeCell ref="A158:A161"/>
  </mergeCells>
  <pageMargins left="0.7" right="0.7" top="0.75" bottom="0.75" header="0.3" footer="0.3"/>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6" tint="-0.249977111117893"/>
  </sheetPr>
  <dimension ref="A1:R18"/>
  <sheetViews>
    <sheetView workbookViewId="0">
      <selection activeCell="D3" sqref="D3:G3"/>
    </sheetView>
  </sheetViews>
  <sheetFormatPr baseColWidth="10" defaultColWidth="8.83203125" defaultRowHeight="14" x14ac:dyDescent="0"/>
  <cols>
    <col min="1" max="1" width="17.33203125" customWidth="1"/>
    <col min="4" max="4" width="10.5" customWidth="1"/>
    <col min="5" max="5" width="11.33203125" customWidth="1"/>
    <col min="6" max="6" width="10.33203125" customWidth="1"/>
    <col min="7" max="7" width="12.5" customWidth="1"/>
    <col min="8" max="8" width="10.6640625" customWidth="1"/>
    <col min="9" max="9" width="10.83203125" customWidth="1"/>
    <col min="10" max="10" width="10.6640625" customWidth="1"/>
    <col min="11" max="11" width="12.1640625" customWidth="1"/>
    <col min="12" max="12" width="12" customWidth="1"/>
    <col min="13" max="13" width="11.33203125" customWidth="1"/>
    <col min="14" max="14" width="13.1640625" customWidth="1"/>
    <col min="15" max="15" width="12.1640625" customWidth="1"/>
    <col min="17" max="17" width="11" customWidth="1"/>
  </cols>
  <sheetData>
    <row r="1" spans="1:18" ht="15" thickBot="1">
      <c r="A1" s="291" t="s">
        <v>257</v>
      </c>
      <c r="B1" s="490"/>
      <c r="C1" s="490"/>
      <c r="D1" s="31" t="s">
        <v>10</v>
      </c>
      <c r="E1" s="32" t="s">
        <v>11</v>
      </c>
      <c r="F1" s="32" t="s">
        <v>12</v>
      </c>
      <c r="G1" s="33" t="s">
        <v>13</v>
      </c>
      <c r="H1" s="31" t="s">
        <v>0</v>
      </c>
      <c r="I1" s="32" t="s">
        <v>1</v>
      </c>
      <c r="J1" s="32" t="s">
        <v>2</v>
      </c>
      <c r="K1" s="32" t="s">
        <v>14</v>
      </c>
      <c r="L1" s="32" t="s">
        <v>6</v>
      </c>
      <c r="M1" s="33" t="s">
        <v>7</v>
      </c>
      <c r="N1" s="31" t="s">
        <v>8</v>
      </c>
      <c r="O1" s="33" t="s">
        <v>9</v>
      </c>
      <c r="P1" s="1413" t="s">
        <v>505</v>
      </c>
      <c r="Q1" s="1414"/>
    </row>
    <row r="2" spans="1:18" ht="15" thickBot="1">
      <c r="A2" s="15"/>
      <c r="B2" s="247"/>
      <c r="C2" s="653"/>
      <c r="D2" s="1415" t="s">
        <v>61</v>
      </c>
      <c r="E2" s="1416"/>
      <c r="F2" s="1416"/>
      <c r="G2" s="1417"/>
      <c r="H2" s="1418" t="s">
        <v>15</v>
      </c>
      <c r="I2" s="1419"/>
      <c r="J2" s="1419"/>
      <c r="K2" s="1419"/>
      <c r="L2" s="1419"/>
      <c r="M2" s="1420"/>
      <c r="N2" s="1415" t="s">
        <v>42</v>
      </c>
      <c r="O2" s="1417"/>
      <c r="P2" t="s">
        <v>498</v>
      </c>
      <c r="Q2" t="s">
        <v>189</v>
      </c>
    </row>
    <row r="3" spans="1:18">
      <c r="A3" s="1411" t="s">
        <v>95</v>
      </c>
      <c r="B3" s="210" t="s">
        <v>496</v>
      </c>
      <c r="C3" s="654" t="s">
        <v>103</v>
      </c>
      <c r="D3" s="658">
        <v>6.7683258375757118</v>
      </c>
      <c r="E3" s="659">
        <v>6.9154760444403029</v>
      </c>
      <c r="F3" s="659">
        <v>7.0615897754188595</v>
      </c>
      <c r="G3" s="659">
        <v>7.2067025370397069</v>
      </c>
      <c r="H3" s="660">
        <v>5.4928594691072439</v>
      </c>
      <c r="I3" s="660">
        <v>0</v>
      </c>
      <c r="J3" s="660">
        <v>0</v>
      </c>
      <c r="K3" s="660">
        <v>0</v>
      </c>
      <c r="L3" s="660">
        <v>0</v>
      </c>
      <c r="M3" s="660">
        <v>0</v>
      </c>
      <c r="N3" s="659">
        <v>0</v>
      </c>
      <c r="O3" s="661">
        <v>0</v>
      </c>
      <c r="P3">
        <f>((D3+D4)*$D$18)+((E3+E4)*$E$18)+((F3+F4)*$F$18)+((G3+G4)*$G$18)+((N3+N4)*$N$18)+((O3+O4)*$O$18)</f>
        <v>1512.0267242215236</v>
      </c>
      <c r="Q3">
        <f>((H3+H4)*$H$18)+((I3+I4)*$I$18)+((J3+J4)*$J$18)+((K3+K4)*$K$18)+((L3+L4)*$L$18)+((M3+M4)*$M$18)</f>
        <v>304.5552767162622</v>
      </c>
    </row>
    <row r="4" spans="1:18">
      <c r="A4" s="1412"/>
      <c r="B4" s="210" t="s">
        <v>497</v>
      </c>
      <c r="C4" s="654" t="s">
        <v>103</v>
      </c>
      <c r="D4" s="657">
        <v>5.4357713136720749</v>
      </c>
      <c r="E4" s="234">
        <v>5.5539504457751416</v>
      </c>
      <c r="F4" s="234">
        <v>5.671297164365054</v>
      </c>
      <c r="G4" s="234">
        <v>5.7878399854105709</v>
      </c>
      <c r="H4" s="230">
        <v>4.3315042959334731</v>
      </c>
      <c r="I4" s="230">
        <v>0</v>
      </c>
      <c r="J4" s="230">
        <v>0</v>
      </c>
      <c r="K4" s="230">
        <v>0</v>
      </c>
      <c r="L4" s="230">
        <v>0</v>
      </c>
      <c r="M4" s="230">
        <v>0</v>
      </c>
      <c r="N4" s="234">
        <v>0</v>
      </c>
      <c r="O4" s="238">
        <v>0</v>
      </c>
      <c r="P4">
        <f>D18+E18+F18+G18</f>
        <v>120</v>
      </c>
      <c r="Q4">
        <f>H18</f>
        <v>31</v>
      </c>
      <c r="R4">
        <f>P4+Q4</f>
        <v>151</v>
      </c>
    </row>
    <row r="5" spans="1:18">
      <c r="A5" s="1411" t="s">
        <v>94</v>
      </c>
      <c r="B5" s="210" t="s">
        <v>496</v>
      </c>
      <c r="C5" s="654" t="s">
        <v>103</v>
      </c>
      <c r="D5" s="657">
        <v>4.4223241454074138</v>
      </c>
      <c r="E5" s="234">
        <v>4.5914453731218501</v>
      </c>
      <c r="F5" s="234">
        <v>4.7585146122372892</v>
      </c>
      <c r="G5" s="234">
        <v>4.9236506241850861</v>
      </c>
      <c r="H5" s="230">
        <v>3.8124299087500093</v>
      </c>
      <c r="I5" s="230">
        <v>3.9895055399311747</v>
      </c>
      <c r="J5" s="230">
        <v>4.1639982300929486</v>
      </c>
      <c r="K5" s="230">
        <v>4.336086055015917</v>
      </c>
      <c r="L5" s="230">
        <v>4.5059261385165401</v>
      </c>
      <c r="M5" s="230">
        <v>4.6736580374992389</v>
      </c>
      <c r="N5" s="234">
        <v>6.4707620738905014</v>
      </c>
      <c r="O5" s="238">
        <v>6.6201013147059928</v>
      </c>
      <c r="P5">
        <f>((D5+D6)*$D$18)+((E5+E6)*$E$18)+((F5+F6)*$F$18)+((G5+G6)*$G$18)+((N5+N6)*$N$18)+((O5+O6)*$O$18)</f>
        <v>1731.3945543221489</v>
      </c>
      <c r="Q5">
        <f>((H5+H6)*$H$18)+((I5+I6)*$I$18)+((J5+J6)*$J$18)+((K5+K6)*$K$18)+((L5+L6)*$L$18)+((M5+M6)*$M$18)</f>
        <v>1397.6499420661025</v>
      </c>
    </row>
    <row r="6" spans="1:18">
      <c r="A6" s="1412"/>
      <c r="B6" s="210" t="s">
        <v>497</v>
      </c>
      <c r="C6" s="654" t="s">
        <v>103</v>
      </c>
      <c r="D6" s="657">
        <v>3.5516526990927528</v>
      </c>
      <c r="E6" s="234">
        <v>3.6874771762536231</v>
      </c>
      <c r="F6" s="234">
        <v>3.8216536623115123</v>
      </c>
      <c r="G6" s="234">
        <v>3.9542775368325356</v>
      </c>
      <c r="H6" s="230">
        <v>3.0063679255897444</v>
      </c>
      <c r="I6" s="230">
        <v>3.1460044594352046</v>
      </c>
      <c r="J6" s="230">
        <v>3.28360416343192</v>
      </c>
      <c r="K6" s="230">
        <v>3.4193074628015712</v>
      </c>
      <c r="L6" s="230">
        <v>3.5532382606750903</v>
      </c>
      <c r="M6" s="230">
        <v>3.6855066074432483</v>
      </c>
      <c r="N6" s="234">
        <v>5.1967921909991448</v>
      </c>
      <c r="O6" s="238">
        <v>5.3167293779359337</v>
      </c>
      <c r="P6">
        <f>D18+E18+F18+G18+N18+O18</f>
        <v>181</v>
      </c>
      <c r="Q6">
        <f>H18+I18+J18+K18+L18+M18</f>
        <v>184</v>
      </c>
      <c r="R6">
        <f>P6+Q6</f>
        <v>365</v>
      </c>
    </row>
    <row r="7" spans="1:18">
      <c r="A7" s="1411" t="s">
        <v>93</v>
      </c>
      <c r="B7" s="210" t="s">
        <v>496</v>
      </c>
      <c r="C7" s="654" t="s">
        <v>103</v>
      </c>
      <c r="D7" s="657">
        <v>0</v>
      </c>
      <c r="E7" s="234">
        <v>0</v>
      </c>
      <c r="F7" s="234">
        <v>0</v>
      </c>
      <c r="G7" s="234">
        <v>0</v>
      </c>
      <c r="H7" s="230">
        <v>0</v>
      </c>
      <c r="I7" s="230">
        <v>0</v>
      </c>
      <c r="J7" s="230">
        <v>0</v>
      </c>
      <c r="K7" s="230">
        <v>0</v>
      </c>
      <c r="L7" s="230">
        <v>0</v>
      </c>
      <c r="M7" s="230">
        <v>0</v>
      </c>
      <c r="N7" s="234">
        <v>4.0773791469450007</v>
      </c>
      <c r="O7" s="238">
        <v>4.2510183512423927</v>
      </c>
      <c r="P7">
        <f>((D7+D8)*$D$18)+((E7+E8)*$E$18)+((F7+F8)*$F$18)+((G7+G8)*$G$18)+((N7+N8)*$N$18)+((O7+O8)*$O$18)</f>
        <v>458.17785384926049</v>
      </c>
      <c r="Q7">
        <f>((H7+H8)*$H$18)+((I7+I8)*$I$18)+((J7+J8)*$J$18)+((K7+K8)*$K$18)+((L7+L8)*$L$18)+((M7+M8)*$M$18)</f>
        <v>0</v>
      </c>
    </row>
    <row r="8" spans="1:18">
      <c r="A8" s="1412"/>
      <c r="B8" s="210" t="s">
        <v>497</v>
      </c>
      <c r="C8" s="654" t="s">
        <v>103</v>
      </c>
      <c r="D8" s="657">
        <v>0</v>
      </c>
      <c r="E8" s="234">
        <v>0</v>
      </c>
      <c r="F8" s="234">
        <v>0</v>
      </c>
      <c r="G8" s="234">
        <v>0</v>
      </c>
      <c r="H8" s="230">
        <v>0</v>
      </c>
      <c r="I8" s="230">
        <v>0</v>
      </c>
      <c r="J8" s="230">
        <v>0</v>
      </c>
      <c r="K8" s="230">
        <v>0</v>
      </c>
      <c r="L8" s="230">
        <v>0</v>
      </c>
      <c r="M8" s="230">
        <v>0</v>
      </c>
      <c r="N8" s="234">
        <v>3.2746208048794192</v>
      </c>
      <c r="O8" s="238">
        <v>3.4140737550327009</v>
      </c>
      <c r="P8">
        <f>N18+O18</f>
        <v>61</v>
      </c>
      <c r="R8">
        <f>P8+Q8</f>
        <v>61</v>
      </c>
    </row>
    <row r="9" spans="1:18">
      <c r="A9" s="1411" t="s">
        <v>98</v>
      </c>
      <c r="B9" s="210" t="s">
        <v>496</v>
      </c>
      <c r="C9" s="654" t="s">
        <v>103</v>
      </c>
      <c r="D9" s="657">
        <v>6.2007233135621656</v>
      </c>
      <c r="E9" s="234">
        <v>6.3295271062775393</v>
      </c>
      <c r="F9" s="234">
        <v>6.45746298873215</v>
      </c>
      <c r="G9" s="234">
        <v>6.5845594372606238</v>
      </c>
      <c r="H9" s="230">
        <v>5.0144197745351704</v>
      </c>
      <c r="I9" s="230">
        <v>0</v>
      </c>
      <c r="J9" s="230">
        <v>0</v>
      </c>
      <c r="K9" s="230">
        <v>0</v>
      </c>
      <c r="L9" s="230">
        <v>0</v>
      </c>
      <c r="M9" s="230">
        <v>0</v>
      </c>
      <c r="N9" s="234">
        <v>0</v>
      </c>
      <c r="O9" s="238">
        <v>0</v>
      </c>
      <c r="P9">
        <f>((D9+D10)*$D$18)+((E9+E10)*$E$18)+((F9+F10)*$F$18)+((G9+G10)*$G$18)+((N9+N10)*$N$18)+((O9+O10)*$O$18)</f>
        <v>1389.4367315862919</v>
      </c>
      <c r="Q9">
        <f>((H9+H10)*$H$18)+((I9+I10)*$I$18)+((J9+J10)*$J$18)+((K9+K10)*$K$18)+((L9+L10)*$L$18)+((M9+M10)*$M$18)</f>
        <v>281.81928951325028</v>
      </c>
    </row>
    <row r="10" spans="1:18">
      <c r="A10" s="1412"/>
      <c r="B10" s="210" t="s">
        <v>497</v>
      </c>
      <c r="C10" s="654" t="s">
        <v>103</v>
      </c>
      <c r="D10" s="657">
        <v>5.0295683557163748</v>
      </c>
      <c r="E10" s="234">
        <v>5.1340444703852182</v>
      </c>
      <c r="F10" s="234">
        <v>5.237816600411886</v>
      </c>
      <c r="G10" s="234">
        <v>5.3409078436938753</v>
      </c>
      <c r="H10" s="230">
        <v>4.0765250484729014</v>
      </c>
      <c r="I10" s="230">
        <v>0</v>
      </c>
      <c r="J10" s="230">
        <v>0</v>
      </c>
      <c r="K10" s="230">
        <v>0</v>
      </c>
      <c r="L10" s="230">
        <v>0</v>
      </c>
      <c r="M10" s="230">
        <v>0</v>
      </c>
      <c r="N10" s="234">
        <v>0</v>
      </c>
      <c r="O10" s="238">
        <v>0</v>
      </c>
      <c r="P10">
        <f>D18+E18+F18+G18</f>
        <v>120</v>
      </c>
      <c r="Q10">
        <f>H18</f>
        <v>31</v>
      </c>
      <c r="R10">
        <f>P10+Q10</f>
        <v>151</v>
      </c>
    </row>
    <row r="11" spans="1:18">
      <c r="A11" s="1411" t="s">
        <v>97</v>
      </c>
      <c r="B11" s="210" t="s">
        <v>496</v>
      </c>
      <c r="C11" s="654" t="s">
        <v>103</v>
      </c>
      <c r="D11" s="657">
        <v>4.1407318848019861</v>
      </c>
      <c r="E11" s="234">
        <v>4.2877380385526402</v>
      </c>
      <c r="F11" s="234">
        <v>4.4330826330701782</v>
      </c>
      <c r="G11" s="234">
        <v>4.5768555313472099</v>
      </c>
      <c r="H11" s="230">
        <v>3.5359699096202331</v>
      </c>
      <c r="I11" s="230">
        <v>3.6920181141074035</v>
      </c>
      <c r="J11" s="230">
        <v>3.8458973550905613</v>
      </c>
      <c r="K11" s="230">
        <v>3.9977504868436329</v>
      </c>
      <c r="L11" s="230">
        <v>4.1477042696121629</v>
      </c>
      <c r="M11" s="230">
        <v>4.2958718645654725</v>
      </c>
      <c r="N11" s="234">
        <v>5.9403889876296407</v>
      </c>
      <c r="O11" s="238">
        <v>6.0710213467249394</v>
      </c>
      <c r="P11">
        <f>((D11+D12)*$D$18)+((E11+E12)*$E$18)+((F11+F12)*$F$18)+((G11+G12)*$G$18)+((N11+N12)*$N$18)+((O11+O12)*$O$18)</f>
        <v>1611.1123961042367</v>
      </c>
      <c r="Q11">
        <f>((H11+H12)*$H$18)+((I11+I12)*$I$18)+((J11+J12)*$J$18)+((K11+K12)*$K$18)+((L11+L12)*$L$18)+((M11+M12)*$M$18)</f>
        <v>1307.3835358225128</v>
      </c>
    </row>
    <row r="12" spans="1:18">
      <c r="A12" s="1412"/>
      <c r="B12" s="210" t="s">
        <v>497</v>
      </c>
      <c r="C12" s="654" t="s">
        <v>103</v>
      </c>
      <c r="D12" s="657">
        <v>3.3586555961552493</v>
      </c>
      <c r="E12" s="234">
        <v>3.4778961204635519</v>
      </c>
      <c r="F12" s="234">
        <v>3.5957889107547998</v>
      </c>
      <c r="G12" s="234">
        <v>3.7124068572453637</v>
      </c>
      <c r="H12" s="230">
        <v>2.8746037538409999</v>
      </c>
      <c r="I12" s="230">
        <v>3.0014647752480359</v>
      </c>
      <c r="J12" s="230">
        <v>3.1265625150689886</v>
      </c>
      <c r="K12" s="230">
        <v>3.2500131081812964</v>
      </c>
      <c r="L12" s="230">
        <v>3.3719196056535474</v>
      </c>
      <c r="M12" s="230">
        <v>3.4923740030429524</v>
      </c>
      <c r="N12" s="234">
        <v>4.8184043960613536</v>
      </c>
      <c r="O12" s="238">
        <v>4.9243637085985306</v>
      </c>
      <c r="P12">
        <f>D18+E18+F18+G18+N18+O18</f>
        <v>181</v>
      </c>
      <c r="Q12">
        <f>H18+I18+J18+K18+L18+M18</f>
        <v>184</v>
      </c>
      <c r="R12">
        <f>P12+Q12</f>
        <v>365</v>
      </c>
    </row>
    <row r="13" spans="1:18">
      <c r="A13" s="1411" t="s">
        <v>96</v>
      </c>
      <c r="B13" s="210" t="s">
        <v>496</v>
      </c>
      <c r="C13" s="654" t="s">
        <v>103</v>
      </c>
      <c r="D13" s="657">
        <v>0</v>
      </c>
      <c r="E13" s="234">
        <v>0</v>
      </c>
      <c r="F13" s="234">
        <v>0</v>
      </c>
      <c r="G13" s="234">
        <v>0</v>
      </c>
      <c r="H13" s="230">
        <v>0</v>
      </c>
      <c r="I13" s="230">
        <v>0</v>
      </c>
      <c r="J13" s="230">
        <v>0</v>
      </c>
      <c r="K13" s="230">
        <v>0</v>
      </c>
      <c r="L13" s="230">
        <v>0</v>
      </c>
      <c r="M13" s="230">
        <v>0</v>
      </c>
      <c r="N13" s="234">
        <v>3.8413253854878353</v>
      </c>
      <c r="O13" s="238">
        <v>3.9919646138941918</v>
      </c>
      <c r="P13">
        <f>((D13+D14)*$D$18)+((E13+E14)*$E$18)+((F13+F14)*$F$18)+((G13+G14)*$G$18)+((N13+N14)*$N$18)+((O13+O14)*$O$18)</f>
        <v>432.84222403058675</v>
      </c>
      <c r="Q13">
        <f>((H13+H14)*$H$18)+((I13+I14)*$I$18)+((J13+J14)*$J$18)+((K13+K14)*$K$18)+((L13+L14)*$L$18)+((M13+M14)*$M$18)</f>
        <v>0</v>
      </c>
    </row>
    <row r="14" spans="1:18">
      <c r="A14" s="1412"/>
      <c r="B14" s="210" t="s">
        <v>497</v>
      </c>
      <c r="C14" s="654" t="s">
        <v>103</v>
      </c>
      <c r="D14" s="657">
        <v>0</v>
      </c>
      <c r="E14" s="234">
        <v>0</v>
      </c>
      <c r="F14" s="234">
        <v>0</v>
      </c>
      <c r="G14" s="234">
        <v>0</v>
      </c>
      <c r="H14" s="230">
        <v>0</v>
      </c>
      <c r="I14" s="230">
        <v>0</v>
      </c>
      <c r="J14" s="230">
        <v>0</v>
      </c>
      <c r="K14" s="230">
        <v>0</v>
      </c>
      <c r="L14" s="230">
        <v>0</v>
      </c>
      <c r="M14" s="230">
        <v>0</v>
      </c>
      <c r="N14" s="234">
        <v>3.1157991779124603</v>
      </c>
      <c r="O14" s="238">
        <v>3.2379865838018684</v>
      </c>
      <c r="P14">
        <f>N18+O18</f>
        <v>61</v>
      </c>
      <c r="R14">
        <f>P14+Q14</f>
        <v>61</v>
      </c>
    </row>
    <row r="15" spans="1:18">
      <c r="A15" s="220" t="s">
        <v>110</v>
      </c>
      <c r="B15" s="228"/>
      <c r="C15" s="655" t="s">
        <v>103</v>
      </c>
      <c r="D15" s="662">
        <f>SUM(D3:D14)</f>
        <v>38.907753145983733</v>
      </c>
      <c r="E15" s="284">
        <f t="shared" ref="E15:O15" si="0">SUM(E3:E14)</f>
        <v>39.977554775269866</v>
      </c>
      <c r="F15" s="284">
        <f t="shared" si="0"/>
        <v>41.037206347301726</v>
      </c>
      <c r="G15" s="284">
        <f t="shared" si="0"/>
        <v>42.087200353014971</v>
      </c>
      <c r="H15" s="284">
        <f t="shared" si="0"/>
        <v>32.144680085849778</v>
      </c>
      <c r="I15" s="284">
        <f t="shared" si="0"/>
        <v>13.828992888721817</v>
      </c>
      <c r="J15" s="284">
        <f t="shared" si="0"/>
        <v>14.420062263684418</v>
      </c>
      <c r="K15" s="284">
        <f t="shared" si="0"/>
        <v>15.003157112842416</v>
      </c>
      <c r="L15" s="284">
        <f t="shared" si="0"/>
        <v>15.57878827445734</v>
      </c>
      <c r="M15" s="284">
        <f t="shared" si="0"/>
        <v>16.147410512550913</v>
      </c>
      <c r="N15" s="284">
        <f t="shared" si="0"/>
        <v>36.735472163805355</v>
      </c>
      <c r="O15" s="370">
        <f t="shared" si="0"/>
        <v>37.827259051936551</v>
      </c>
    </row>
    <row r="16" spans="1:18" ht="15" thickBot="1">
      <c r="A16" s="311"/>
      <c r="B16" s="312"/>
      <c r="C16" s="656" t="s">
        <v>104</v>
      </c>
      <c r="D16" s="663">
        <f>D15*30.4</f>
        <v>1182.7956956379055</v>
      </c>
      <c r="E16" s="664">
        <f t="shared" ref="E16:O16" si="1">E15*30.4</f>
        <v>1215.3176651682038</v>
      </c>
      <c r="F16" s="664">
        <f t="shared" si="1"/>
        <v>1247.5310729579724</v>
      </c>
      <c r="G16" s="664">
        <f t="shared" si="1"/>
        <v>1279.4508907316551</v>
      </c>
      <c r="H16" s="664">
        <f t="shared" si="1"/>
        <v>977.19827460983322</v>
      </c>
      <c r="I16" s="664">
        <f t="shared" si="1"/>
        <v>420.40138381714326</v>
      </c>
      <c r="J16" s="664">
        <f t="shared" si="1"/>
        <v>438.36989281600631</v>
      </c>
      <c r="K16" s="664">
        <f t="shared" si="1"/>
        <v>456.09597623040941</v>
      </c>
      <c r="L16" s="664">
        <f t="shared" si="1"/>
        <v>473.59516354350313</v>
      </c>
      <c r="M16" s="664">
        <f t="shared" si="1"/>
        <v>490.88127958154774</v>
      </c>
      <c r="N16" s="664">
        <f t="shared" si="1"/>
        <v>1116.7583537796827</v>
      </c>
      <c r="O16" s="665">
        <f t="shared" si="1"/>
        <v>1149.9486751788711</v>
      </c>
    </row>
    <row r="18" spans="3:15">
      <c r="C18" t="s">
        <v>472</v>
      </c>
      <c r="D18">
        <v>31</v>
      </c>
      <c r="E18">
        <v>28</v>
      </c>
      <c r="F18">
        <v>31</v>
      </c>
      <c r="G18">
        <v>30</v>
      </c>
      <c r="H18">
        <v>31</v>
      </c>
      <c r="I18">
        <v>30</v>
      </c>
      <c r="J18">
        <v>31</v>
      </c>
      <c r="K18">
        <v>31</v>
      </c>
      <c r="L18">
        <v>30</v>
      </c>
      <c r="M18">
        <v>31</v>
      </c>
      <c r="N18">
        <v>30</v>
      </c>
      <c r="O18">
        <v>31</v>
      </c>
    </row>
  </sheetData>
  <sheetProtection password="A4FF" sheet="1" objects="1" scenarios="1"/>
  <mergeCells count="10">
    <mergeCell ref="A9:A10"/>
    <mergeCell ref="A11:A12"/>
    <mergeCell ref="A13:A14"/>
    <mergeCell ref="P1:Q1"/>
    <mergeCell ref="D2:G2"/>
    <mergeCell ref="H2:M2"/>
    <mergeCell ref="N2:O2"/>
    <mergeCell ref="A3:A4"/>
    <mergeCell ref="A5:A6"/>
    <mergeCell ref="A7:A8"/>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enableFormatConditionsCalculation="0">
    <tabColor theme="6" tint="-0.249977111117893"/>
  </sheetPr>
  <dimension ref="A1:P113"/>
  <sheetViews>
    <sheetView topLeftCell="A4" workbookViewId="0">
      <selection activeCell="D3" sqref="D3:G3"/>
    </sheetView>
  </sheetViews>
  <sheetFormatPr baseColWidth="10" defaultColWidth="8.83203125" defaultRowHeight="14" x14ac:dyDescent="0"/>
  <cols>
    <col min="1" max="1" width="27.33203125" customWidth="1"/>
    <col min="2" max="2" width="13.83203125" customWidth="1"/>
    <col min="3" max="3" width="15.6640625" bestFit="1" customWidth="1"/>
    <col min="4" max="4" width="16.6640625" customWidth="1"/>
    <col min="5" max="5" width="17.6640625" customWidth="1"/>
    <col min="6" max="6" width="16" customWidth="1"/>
    <col min="7" max="7" width="14.83203125" customWidth="1"/>
    <col min="8" max="8" width="14.5" bestFit="1" customWidth="1"/>
    <col min="9" max="9" width="15.6640625" customWidth="1"/>
    <col min="10" max="10" width="14.33203125" bestFit="1" customWidth="1"/>
    <col min="11" max="11" width="18.6640625" bestFit="1" customWidth="1"/>
    <col min="12" max="12" width="13.33203125" bestFit="1" customWidth="1"/>
    <col min="13" max="13" width="14" bestFit="1" customWidth="1"/>
    <col min="14" max="14" width="15.5" customWidth="1"/>
    <col min="15" max="15" width="16.1640625" customWidth="1"/>
    <col min="16" max="16" width="9.5" customWidth="1"/>
    <col min="17" max="18" width="9.1640625" customWidth="1"/>
  </cols>
  <sheetData>
    <row r="1" spans="1:15">
      <c r="A1" s="293" t="s">
        <v>139</v>
      </c>
      <c r="B1" s="294"/>
      <c r="C1" s="209"/>
      <c r="D1" s="386"/>
      <c r="E1" s="32"/>
      <c r="F1" s="32"/>
      <c r="G1" s="33"/>
      <c r="H1" s="31"/>
      <c r="I1" s="32"/>
      <c r="J1" s="32"/>
      <c r="K1" s="32"/>
      <c r="L1" s="32"/>
      <c r="M1" s="33"/>
      <c r="N1" s="31"/>
      <c r="O1" s="33"/>
    </row>
    <row r="2" spans="1:15">
      <c r="A2" s="1422" t="s">
        <v>140</v>
      </c>
      <c r="B2" s="1422"/>
      <c r="C2" s="1423"/>
      <c r="D2" s="386" t="s">
        <v>10</v>
      </c>
      <c r="E2" s="386" t="s">
        <v>11</v>
      </c>
      <c r="F2" s="386" t="s">
        <v>12</v>
      </c>
      <c r="G2" s="35" t="s">
        <v>13</v>
      </c>
      <c r="H2" s="34" t="s">
        <v>0</v>
      </c>
      <c r="I2" s="386" t="s">
        <v>1</v>
      </c>
      <c r="J2" s="386" t="s">
        <v>2</v>
      </c>
      <c r="K2" s="386" t="s">
        <v>14</v>
      </c>
      <c r="L2" s="386" t="s">
        <v>6</v>
      </c>
      <c r="M2" s="35" t="s">
        <v>7</v>
      </c>
      <c r="N2" s="34" t="s">
        <v>8</v>
      </c>
      <c r="O2" s="35" t="s">
        <v>9</v>
      </c>
    </row>
    <row r="3" spans="1:15" ht="15" thickBot="1">
      <c r="A3" s="18"/>
      <c r="B3" s="247"/>
      <c r="C3" s="248"/>
      <c r="D3" s="1401" t="s">
        <v>61</v>
      </c>
      <c r="E3" s="1401"/>
      <c r="F3" s="1401"/>
      <c r="G3" s="1402"/>
      <c r="H3" s="1403" t="s">
        <v>15</v>
      </c>
      <c r="I3" s="1404"/>
      <c r="J3" s="1404"/>
      <c r="K3" s="1404"/>
      <c r="L3" s="1404"/>
      <c r="M3" s="1405"/>
      <c r="N3" s="1406" t="s">
        <v>42</v>
      </c>
      <c r="O3" s="1402"/>
    </row>
    <row r="4" spans="1:15" ht="15" thickBot="1">
      <c r="A4" s="305" t="s">
        <v>111</v>
      </c>
      <c r="B4" s="306"/>
      <c r="C4" s="307"/>
      <c r="D4" s="308"/>
      <c r="E4" s="308"/>
      <c r="F4" s="308"/>
      <c r="G4" s="308"/>
      <c r="H4" s="309"/>
      <c r="I4" s="309"/>
      <c r="J4" s="309"/>
      <c r="K4" s="309"/>
      <c r="L4" s="309"/>
      <c r="M4" s="309"/>
      <c r="N4" s="308"/>
      <c r="O4" s="310"/>
    </row>
    <row r="5" spans="1:15">
      <c r="A5" s="220" t="str">
        <f>'Conv Energy'!A76</f>
        <v xml:space="preserve">Cow </v>
      </c>
      <c r="B5" s="210" t="str">
        <f>'Conv Energy'!B134</f>
        <v>NEm</v>
      </c>
      <c r="C5" s="244" t="str">
        <f>'Conv Energy'!C134</f>
        <v>kg/day</v>
      </c>
      <c r="D5" s="241">
        <f>'Conv Energy'!D134*'Conv Calendar'!W$4</f>
        <v>3677445.8310911111</v>
      </c>
      <c r="E5" s="241">
        <f>'Conv Energy'!E134*'Conv Calendar'!X$4</f>
        <v>4033704.0142799774</v>
      </c>
      <c r="F5" s="241">
        <f>'Conv Energy'!F134*'Conv Calendar'!Y$4</f>
        <v>4417155.3222388094</v>
      </c>
      <c r="G5" s="241">
        <f>'Conv Energy'!G134*'Conv Calendar'!Z$4</f>
        <v>5285414.7996797152</v>
      </c>
      <c r="H5" s="229">
        <f>'Conv Energy'!H134*'Conv Calendar'!AA$4</f>
        <v>3798436.7139352309</v>
      </c>
      <c r="I5" s="229">
        <f>'Conv Energy'!I134*'Conv Calendar'!AB$4</f>
        <v>4103015.1018328178</v>
      </c>
      <c r="J5" s="229">
        <f>'Conv Energy'!J134*'Conv Calendar'!AC$4</f>
        <v>3955963.5186009505</v>
      </c>
      <c r="K5" s="229">
        <f>'Conv Energy'!K134*'Conv Calendar'!AD$4</f>
        <v>3664672.9330133493</v>
      </c>
      <c r="L5" s="229">
        <f>'Conv Energy'!L134*'Conv Calendar'!AE$4</f>
        <v>3367574.2531160112</v>
      </c>
      <c r="M5" s="229">
        <f>'Conv Energy'!M134*'Conv Calendar'!AF$4</f>
        <v>3123441.2689543758</v>
      </c>
      <c r="N5" s="233">
        <f>'Conv Energy'!N134*'Conv Calendar'!AG$4</f>
        <v>3310286.0426351856</v>
      </c>
      <c r="O5" s="237">
        <f>'Conv Energy'!O134*'Conv Calendar'!AH$4</f>
        <v>3437490.9945237692</v>
      </c>
    </row>
    <row r="6" spans="1:15">
      <c r="A6" s="214" t="str">
        <f>'Conv Energy'!A77</f>
        <v xml:space="preserve">Bull </v>
      </c>
      <c r="B6" s="210" t="str">
        <f>'Conv Energy'!B136</f>
        <v>NEm</v>
      </c>
      <c r="C6" s="244" t="str">
        <f>'Conv Energy'!C136</f>
        <v>kg/day</v>
      </c>
      <c r="D6" s="241">
        <f>'Conv Energy'!D136*'Conv Calendar'!W$5</f>
        <v>176802.66297877143</v>
      </c>
      <c r="E6" s="234">
        <f>'Conv Energy'!E136*'Conv Calendar'!X$5</f>
        <v>176802.66297877143</v>
      </c>
      <c r="F6" s="234">
        <f>'Conv Energy'!F136*'Conv Calendar'!Y$5</f>
        <v>176802.66297877143</v>
      </c>
      <c r="G6" s="234">
        <f>'Conv Energy'!G136*'Conv Calendar'!Z$5</f>
        <v>176802.66297877143</v>
      </c>
      <c r="H6" s="230">
        <f>'Conv Energy'!H136*'Conv Calendar'!AA$5</f>
        <v>131496.98059046126</v>
      </c>
      <c r="I6" s="230">
        <f>'Conv Energy'!I136*'Conv Calendar'!AB$5</f>
        <v>131496.98059046126</v>
      </c>
      <c r="J6" s="230">
        <f>'Conv Energy'!J136*'Conv Calendar'!AC$5</f>
        <v>131496.98059046126</v>
      </c>
      <c r="K6" s="230">
        <f>'Conv Energy'!K136*'Conv Calendar'!AD$5</f>
        <v>131496.98059046126</v>
      </c>
      <c r="L6" s="230">
        <f>'Conv Energy'!L136*'Conv Calendar'!AE$5</f>
        <v>131496.98059046126</v>
      </c>
      <c r="M6" s="230">
        <f>'Conv Energy'!M136*'Conv Calendar'!AF$5</f>
        <v>131496.98059046126</v>
      </c>
      <c r="N6" s="234">
        <f>'Conv Energy'!N136*'Conv Calendar'!AG$5</f>
        <v>176802.66297877143</v>
      </c>
      <c r="O6" s="238">
        <f>'Conv Energy'!O136*'Conv Calendar'!AH$5</f>
        <v>176802.66297877143</v>
      </c>
    </row>
    <row r="7" spans="1:15">
      <c r="A7" s="1421" t="str">
        <f>'Conv Energy'!A78</f>
        <v xml:space="preserve">Steer calf </v>
      </c>
      <c r="B7" s="210" t="str">
        <f>'Conv Energy'!B138</f>
        <v>NEm</v>
      </c>
      <c r="C7" s="245" t="str">
        <f>'Conv Energy'!C138</f>
        <v>kg/day</v>
      </c>
      <c r="D7" s="242">
        <f>'Conv Energy'!D138*'Conv Calendar'!W$6</f>
        <v>0</v>
      </c>
      <c r="E7" s="234">
        <f>'Conv Energy'!E138*'Conv Calendar'!X$6</f>
        <v>0</v>
      </c>
      <c r="F7" s="234">
        <f>'Conv Energy'!F138*'Conv Calendar'!Y$6</f>
        <v>0</v>
      </c>
      <c r="G7" s="234">
        <f>'Conv Energy'!G138*'Conv Calendar'!Z$6</f>
        <v>106796.8461907937</v>
      </c>
      <c r="H7" s="230">
        <f>'Conv Energy'!H138*'Conv Calendar'!AA$6</f>
        <v>79430.15435440281</v>
      </c>
      <c r="I7" s="230">
        <f>'Conv Energy'!I138*'Conv Calendar'!AB$6</f>
        <v>79430.15435440281</v>
      </c>
      <c r="J7" s="230">
        <f>'Conv Energy'!J138*'Conv Calendar'!AC$6</f>
        <v>0</v>
      </c>
      <c r="K7" s="230">
        <f>'Conv Energy'!K138*'Conv Calendar'!AD$6</f>
        <v>0</v>
      </c>
      <c r="L7" s="230">
        <f>'Conv Energy'!L138*'Conv Calendar'!AE$6</f>
        <v>0</v>
      </c>
      <c r="M7" s="230">
        <f>'Conv Energy'!M138*'Conv Calendar'!AF$6</f>
        <v>0</v>
      </c>
      <c r="N7" s="234">
        <f>'Conv Energy'!N138*'Conv Calendar'!AG$6</f>
        <v>0</v>
      </c>
      <c r="O7" s="238">
        <f>'Conv Energy'!O138*'Conv Calendar'!AH$6</f>
        <v>0</v>
      </c>
    </row>
    <row r="8" spans="1:15">
      <c r="A8" s="1421"/>
      <c r="B8" s="210" t="str">
        <f>'Conv Energy'!B139</f>
        <v>NEg</v>
      </c>
      <c r="C8" s="245" t="str">
        <f>'Conv Energy'!C139</f>
        <v>kg/day</v>
      </c>
      <c r="D8" s="242">
        <f>'Conv Energy'!D139*'Conv Calendar'!W$6</f>
        <v>0</v>
      </c>
      <c r="E8" s="234">
        <f>'Conv Energy'!E139*'Conv Calendar'!X$6</f>
        <v>0</v>
      </c>
      <c r="F8" s="234">
        <f>'Conv Energy'!F139*'Conv Calendar'!Y$6</f>
        <v>0</v>
      </c>
      <c r="G8" s="234">
        <f>'Conv Energy'!G139*'Conv Calendar'!Z$6</f>
        <v>430561.5390669207</v>
      </c>
      <c r="H8" s="230">
        <f>'Conv Energy'!H139*'Conv Calendar'!AA$6</f>
        <v>270380.58300297189</v>
      </c>
      <c r="I8" s="230">
        <f>'Conv Energy'!I139*'Conv Calendar'!AB$6</f>
        <v>348497.68310445803</v>
      </c>
      <c r="J8" s="230">
        <f>'Conv Energy'!J139*'Conv Calendar'!AC$6</f>
        <v>0</v>
      </c>
      <c r="K8" s="230">
        <f>'Conv Energy'!K139*'Conv Calendar'!AD$6</f>
        <v>0</v>
      </c>
      <c r="L8" s="230">
        <f>'Conv Energy'!L139*'Conv Calendar'!AE$6</f>
        <v>0</v>
      </c>
      <c r="M8" s="230">
        <f>'Conv Energy'!M139*'Conv Calendar'!AF$6</f>
        <v>0</v>
      </c>
      <c r="N8" s="234">
        <f>'Conv Energy'!N139*'Conv Calendar'!AG$6</f>
        <v>0</v>
      </c>
      <c r="O8" s="238">
        <f>'Conv Energy'!O139*'Conv Calendar'!AH$6</f>
        <v>0</v>
      </c>
    </row>
    <row r="9" spans="1:15">
      <c r="A9" s="1421" t="str">
        <f>'Conv Energy'!A80</f>
        <v>Heifer calf</v>
      </c>
      <c r="B9" s="210" t="str">
        <f>'Conv Energy'!B142</f>
        <v>NEm</v>
      </c>
      <c r="C9" s="245" t="str">
        <f>'Conv Energy'!C142</f>
        <v>kg/day</v>
      </c>
      <c r="D9" s="242">
        <f>'Conv Energy'!D142*'Conv Calendar'!W$7</f>
        <v>0</v>
      </c>
      <c r="E9" s="234">
        <f>'Conv Energy'!E142*'Conv Calendar'!X$7</f>
        <v>0</v>
      </c>
      <c r="F9" s="234">
        <f>'Conv Energy'!F142*'Conv Calendar'!Y$7</f>
        <v>0</v>
      </c>
      <c r="G9" s="234">
        <f>'Conv Energy'!G142*'Conv Calendar'!Z$7</f>
        <v>77688.848447957789</v>
      </c>
      <c r="H9" s="230">
        <f>'Conv Energy'!H142*'Conv Calendar'!AA$7</f>
        <v>57781.081033168601</v>
      </c>
      <c r="I9" s="230">
        <f>'Conv Energy'!I142*'Conv Calendar'!AB$7</f>
        <v>57781.081033168601</v>
      </c>
      <c r="J9" s="230">
        <f>'Conv Energy'!J142*'Conv Calendar'!AC$7</f>
        <v>0</v>
      </c>
      <c r="K9" s="230">
        <f>'Conv Energy'!K142*'Conv Calendar'!AD$7</f>
        <v>0</v>
      </c>
      <c r="L9" s="230">
        <f>'Conv Energy'!L142*'Conv Calendar'!AE$7</f>
        <v>0</v>
      </c>
      <c r="M9" s="230">
        <f>'Conv Energy'!M142*'Conv Calendar'!AF$7</f>
        <v>0</v>
      </c>
      <c r="N9" s="234">
        <f>'Conv Energy'!N142*'Conv Calendar'!AG$7</f>
        <v>0</v>
      </c>
      <c r="O9" s="238">
        <f>'Conv Energy'!O142*'Conv Calendar'!AH$7</f>
        <v>0</v>
      </c>
    </row>
    <row r="10" spans="1:15">
      <c r="A10" s="1421"/>
      <c r="B10" s="210" t="str">
        <f>'Conv Energy'!B143</f>
        <v>NEg</v>
      </c>
      <c r="C10" s="245" t="str">
        <f>'Conv Energy'!C143</f>
        <v>kg/day</v>
      </c>
      <c r="D10" s="242">
        <f>'Conv Energy'!D143*'Conv Calendar'!W$7</f>
        <v>0</v>
      </c>
      <c r="E10" s="234">
        <f>'Conv Energy'!E143*'Conv Calendar'!X$7</f>
        <v>0</v>
      </c>
      <c r="F10" s="234">
        <f>'Conv Energy'!F143*'Conv Calendar'!Y$7</f>
        <v>0</v>
      </c>
      <c r="G10" s="234">
        <f>'Conv Energy'!G143*'Conv Calendar'!Z$7</f>
        <v>454238.74402889091</v>
      </c>
      <c r="H10" s="230">
        <f>'Conv Energy'!H143*'Conv Calendar'!AA$7</f>
        <v>286915.56456068775</v>
      </c>
      <c r="I10" s="230">
        <f>'Conv Energy'!I143*'Conv Calendar'!AB$7</f>
        <v>371171.86986070289</v>
      </c>
      <c r="J10" s="230">
        <f>'Conv Energy'!J143*'Conv Calendar'!AC$7</f>
        <v>0</v>
      </c>
      <c r="K10" s="230">
        <f>'Conv Energy'!K143*'Conv Calendar'!AD$7</f>
        <v>0</v>
      </c>
      <c r="L10" s="230">
        <f>'Conv Energy'!L143*'Conv Calendar'!AE$7</f>
        <v>0</v>
      </c>
      <c r="M10" s="230">
        <f>'Conv Energy'!M143*'Conv Calendar'!AF$7</f>
        <v>0</v>
      </c>
      <c r="N10" s="234">
        <f>'Conv Energy'!N143*'Conv Calendar'!AG$7</f>
        <v>0</v>
      </c>
      <c r="O10" s="238">
        <f>'Conv Energy'!O143*'Conv Calendar'!AH$7</f>
        <v>0</v>
      </c>
    </row>
    <row r="11" spans="1:15" s="496" customFormat="1">
      <c r="A11" s="1421" t="str">
        <f>'Conv Energy'!A146</f>
        <v>Feeder Steer 3</v>
      </c>
      <c r="B11" s="517" t="str">
        <f>'Conv Energy'!B146</f>
        <v>NEm</v>
      </c>
      <c r="C11" s="517" t="str">
        <f>'Conv Energy'!C146</f>
        <v>kg/day</v>
      </c>
      <c r="D11" s="518">
        <f>'Conv Energy'!D146*'Conv Calendar'!W$8</f>
        <v>0</v>
      </c>
      <c r="E11" s="519">
        <f>'Conv Energy'!E146*'Conv Calendar'!X$8</f>
        <v>0</v>
      </c>
      <c r="F11" s="519">
        <f>'Conv Energy'!F146*'Conv Calendar'!Y$8</f>
        <v>0</v>
      </c>
      <c r="G11" s="519">
        <f>'Conv Energy'!G146*'Conv Calendar'!Z$8</f>
        <v>0</v>
      </c>
      <c r="H11" s="519">
        <f>'Conv Energy'!H146*'Conv Calendar'!AA$8</f>
        <v>0</v>
      </c>
      <c r="I11" s="519">
        <f>'Conv Energy'!I146*'Conv Calendar'!AB$8</f>
        <v>0</v>
      </c>
      <c r="J11" s="519">
        <f>'Conv Energy'!J146*'Conv Calendar'!AC$8</f>
        <v>0</v>
      </c>
      <c r="K11" s="519">
        <f>'Conv Energy'!K146*'Conv Calendar'!AD$8</f>
        <v>0</v>
      </c>
      <c r="L11" s="519">
        <f>'Conv Energy'!L146*'Conv Calendar'!AE$8</f>
        <v>0</v>
      </c>
      <c r="M11" s="519">
        <f>'Conv Energy'!M146*'Conv Calendar'!AF$8</f>
        <v>0</v>
      </c>
      <c r="N11" s="519">
        <f>'Conv Energy'!N146*'Conv Calendar'!AG$8</f>
        <v>0</v>
      </c>
      <c r="O11" s="520">
        <f>'Conv Energy'!O146*'Conv Calendar'!AH$8</f>
        <v>0</v>
      </c>
    </row>
    <row r="12" spans="1:15" s="496" customFormat="1">
      <c r="A12" s="1421"/>
      <c r="B12" s="517" t="str">
        <f>'Conv Energy'!B147</f>
        <v>NEg</v>
      </c>
      <c r="C12" s="517" t="str">
        <f>'Conv Energy'!C147</f>
        <v>kg/day</v>
      </c>
      <c r="D12" s="518">
        <f>'Conv Energy'!D147*'Conv Calendar'!W$8</f>
        <v>0</v>
      </c>
      <c r="E12" s="519">
        <f>'Conv Energy'!E147*'Conv Calendar'!X$8</f>
        <v>0</v>
      </c>
      <c r="F12" s="519">
        <f>'Conv Energy'!F147*'Conv Calendar'!Y$8</f>
        <v>0</v>
      </c>
      <c r="G12" s="519">
        <f>'Conv Energy'!G147*'Conv Calendar'!Z$8</f>
        <v>0</v>
      </c>
      <c r="H12" s="519">
        <f>'Conv Energy'!H147*'Conv Calendar'!AA$8</f>
        <v>0</v>
      </c>
      <c r="I12" s="519">
        <f>'Conv Energy'!I147*'Conv Calendar'!AB$8</f>
        <v>0</v>
      </c>
      <c r="J12" s="519">
        <f>'Conv Energy'!J147*'Conv Calendar'!AC$8</f>
        <v>0</v>
      </c>
      <c r="K12" s="519">
        <f>'Conv Energy'!K147*'Conv Calendar'!AD$8</f>
        <v>0</v>
      </c>
      <c r="L12" s="519">
        <f>'Conv Energy'!L147*'Conv Calendar'!AE$8</f>
        <v>0</v>
      </c>
      <c r="M12" s="519">
        <f>'Conv Energy'!M147*'Conv Calendar'!AF$8</f>
        <v>0</v>
      </c>
      <c r="N12" s="519">
        <f>'Conv Energy'!N147*'Conv Calendar'!AG$8</f>
        <v>0</v>
      </c>
      <c r="O12" s="520">
        <f>'Conv Energy'!O147*'Conv Calendar'!AH$8</f>
        <v>0</v>
      </c>
    </row>
    <row r="13" spans="1:15">
      <c r="A13" s="1421" t="str">
        <f>'Conv Energy'!A150</f>
        <v>Feeder Steer 2</v>
      </c>
      <c r="B13" s="628" t="str">
        <f>'Conv Energy'!B150</f>
        <v>NEm</v>
      </c>
      <c r="C13" s="628" t="str">
        <f>'Conv Energy'!C150</f>
        <v>kg/day</v>
      </c>
      <c r="D13" s="457">
        <f>'Conv Energy'!D150*'Conv Calendar'!W$10</f>
        <v>692628.00814465003</v>
      </c>
      <c r="E13" s="454">
        <f>'Conv Energy'!E150*'Conv Calendar'!X$10</f>
        <v>594196.93821974448</v>
      </c>
      <c r="F13" s="454">
        <f>'Conv Energy'!F150*'Conv Calendar'!Y$10</f>
        <v>649728.5718274496</v>
      </c>
      <c r="G13" s="454">
        <f>'Conv Energy'!G150*'Conv Calendar'!Z$10</f>
        <v>703719.18703835609</v>
      </c>
      <c r="H13" s="454">
        <f>'Conv Energy'!H150*'Conv Calendar'!AA$10</f>
        <v>756361.52038297034</v>
      </c>
      <c r="I13" s="454">
        <f>'Conv Energy'!I150*'Conv Calendar'!AB$10</f>
        <v>807808.8170927508</v>
      </c>
      <c r="J13" s="454">
        <f>'Conv Energy'!J150*'Conv Calendar'!AC$10</f>
        <v>858185.55440241436</v>
      </c>
      <c r="K13" s="459">
        <f>'Conv Energy'!K150*'Conv Calendar'!AD$10</f>
        <v>0</v>
      </c>
      <c r="L13" s="459">
        <f>'Conv Energy'!L150*'Conv Calendar'!AE$10</f>
        <v>0</v>
      </c>
      <c r="M13" s="459">
        <f>'Conv Energy'!M150*'Conv Calendar'!AF$10</f>
        <v>0</v>
      </c>
      <c r="N13" s="459">
        <f>'Conv Energy'!N150*'Conv Calendar'!AG$10</f>
        <v>0</v>
      </c>
      <c r="O13" s="460">
        <f>'Conv Energy'!O150*'Conv Calendar'!AH$10</f>
        <v>0</v>
      </c>
    </row>
    <row r="14" spans="1:15">
      <c r="A14" s="1421"/>
      <c r="B14" s="628" t="str">
        <f>'Conv Energy'!B151</f>
        <v>NEg</v>
      </c>
      <c r="C14" s="628" t="str">
        <f>'Conv Energy'!C151</f>
        <v>kg/day</v>
      </c>
      <c r="D14" s="457">
        <f>'Conv Energy'!D151*'Conv Calendar'!W$10</f>
        <v>895617.0996561948</v>
      </c>
      <c r="E14" s="454">
        <f>'Conv Energy'!E151*'Conv Calendar'!X$10</f>
        <v>995861.61626890453</v>
      </c>
      <c r="F14" s="454">
        <f>'Conv Energy'!F151*'Conv Calendar'!Y$10</f>
        <v>1088931.4704561541</v>
      </c>
      <c r="G14" s="454">
        <f>'Conv Energy'!G151*'Conv Calendar'!Z$10</f>
        <v>1179418.6101044598</v>
      </c>
      <c r="H14" s="454">
        <f>'Conv Energy'!H151*'Conv Calendar'!AA$10</f>
        <v>1267646.0575999005</v>
      </c>
      <c r="I14" s="454">
        <f>'Conv Energy'!I151*'Conv Calendar'!AB$10</f>
        <v>1353870.6487389421</v>
      </c>
      <c r="J14" s="454">
        <f>'Conv Energy'!J151*'Conv Calendar'!AC$10</f>
        <v>1438301.0047583845</v>
      </c>
      <c r="K14" s="459">
        <f>'Conv Energy'!K151*'Conv Calendar'!AD$10</f>
        <v>0</v>
      </c>
      <c r="L14" s="459">
        <f>'Conv Energy'!L151*'Conv Calendar'!AE$10</f>
        <v>0</v>
      </c>
      <c r="M14" s="459">
        <f>'Conv Energy'!M151*'Conv Calendar'!AF$10</f>
        <v>0</v>
      </c>
      <c r="N14" s="459">
        <f>'Conv Energy'!N151*'Conv Calendar'!AG$10</f>
        <v>0</v>
      </c>
      <c r="O14" s="460">
        <f>'Conv Energy'!O151*'Conv Calendar'!AH$10</f>
        <v>0</v>
      </c>
    </row>
    <row r="15" spans="1:15">
      <c r="A15" s="1421" t="str">
        <f>'Conv Energy'!A154</f>
        <v>Feeder Steer 1</v>
      </c>
      <c r="B15" s="628" t="str">
        <f>'Conv Energy'!B154</f>
        <v>NEm</v>
      </c>
      <c r="C15" s="628" t="str">
        <f>'Conv Energy'!C154</f>
        <v>kg/day</v>
      </c>
      <c r="D15" s="458">
        <f>'Conv Energy'!D154*'Conv Calendar'!W$12</f>
        <v>0</v>
      </c>
      <c r="E15" s="459">
        <f>'Conv Energy'!E154*'Conv Calendar'!X$12</f>
        <v>0</v>
      </c>
      <c r="F15" s="459">
        <f>'Conv Energy'!F154*'Conv Calendar'!Y$12</f>
        <v>0</v>
      </c>
      <c r="G15" s="459">
        <f>'Conv Energy'!G154*'Conv Calendar'!Z$12</f>
        <v>0</v>
      </c>
      <c r="H15" s="459">
        <f>'Conv Energy'!H154*'Conv Calendar'!AA$12</f>
        <v>0</v>
      </c>
      <c r="I15" s="459">
        <f>'Conv Energy'!I154*'Conv Calendar'!AB$12</f>
        <v>0</v>
      </c>
      <c r="J15" s="459">
        <f>'Conv Energy'!J154*'Conv Calendar'!AC$12</f>
        <v>0</v>
      </c>
      <c r="K15" s="459">
        <f>'Conv Energy'!K154*'Conv Calendar'!AD$12</f>
        <v>0</v>
      </c>
      <c r="L15" s="459">
        <f>'Conv Energy'!L154*'Conv Calendar'!AE$12</f>
        <v>0</v>
      </c>
      <c r="M15" s="459">
        <f>'Conv Energy'!M154*'Conv Calendar'!AF$12</f>
        <v>0</v>
      </c>
      <c r="N15" s="455">
        <f>'Conv Energy'!N154*'Conv Calendar'!AG$12</f>
        <v>584428.94163794385</v>
      </c>
      <c r="O15" s="456">
        <f>'Conv Energy'!O154*'Conv Calendar'!AH$12</f>
        <v>639292.76484614937</v>
      </c>
    </row>
    <row r="16" spans="1:15">
      <c r="A16" s="1421"/>
      <c r="B16" s="628" t="str">
        <f>'Conv Energy'!B155</f>
        <v>NEg</v>
      </c>
      <c r="C16" s="628" t="str">
        <f>'Conv Energy'!C155</f>
        <v>kg/day</v>
      </c>
      <c r="D16" s="458">
        <f>'Conv Energy'!D155*'Conv Calendar'!W$12</f>
        <v>0</v>
      </c>
      <c r="E16" s="459">
        <f>'Conv Energy'!E155*'Conv Calendar'!X$12</f>
        <v>0</v>
      </c>
      <c r="F16" s="459">
        <f>'Conv Energy'!F155*'Conv Calendar'!Y$12</f>
        <v>0</v>
      </c>
      <c r="G16" s="459">
        <f>'Conv Energy'!G155*'Conv Calendar'!Z$12</f>
        <v>0</v>
      </c>
      <c r="H16" s="459">
        <f>'Conv Energy'!H155*'Conv Calendar'!AA$12</f>
        <v>0</v>
      </c>
      <c r="I16" s="459">
        <f>'Conv Energy'!I155*'Conv Calendar'!AB$12</f>
        <v>0</v>
      </c>
      <c r="J16" s="459">
        <f>'Conv Energy'!J155*'Conv Calendar'!AC$12</f>
        <v>0</v>
      </c>
      <c r="K16" s="459">
        <f>'Conv Energy'!K155*'Conv Calendar'!AD$12</f>
        <v>0</v>
      </c>
      <c r="L16" s="459">
        <f>'Conv Energy'!L155*'Conv Calendar'!AE$12</f>
        <v>0</v>
      </c>
      <c r="M16" s="459">
        <f>'Conv Energy'!M155*'Conv Calendar'!AF$12</f>
        <v>0</v>
      </c>
      <c r="N16" s="455">
        <f>'Conv Energy'!N155*'Conv Calendar'!AG$12</f>
        <v>755708.03881728323</v>
      </c>
      <c r="O16" s="456">
        <f>'Conv Energy'!O155*'Conv Calendar'!AH$12</f>
        <v>826650.85031202342</v>
      </c>
    </row>
    <row r="17" spans="1:15" s="496" customFormat="1">
      <c r="A17" s="1421" t="str">
        <f>'Conv Energy'!A158</f>
        <v>Feeder Heifer 3</v>
      </c>
      <c r="B17" s="517" t="str">
        <f>'Conv Energy'!B158</f>
        <v>NEm</v>
      </c>
      <c r="C17" s="517" t="str">
        <f>'Conv Energy'!C158</f>
        <v>kg/day</v>
      </c>
      <c r="D17" s="518">
        <f>'Conv Energy'!D158*'Conv Calendar'!W$9</f>
        <v>0</v>
      </c>
      <c r="E17" s="519">
        <f>'Conv Energy'!E158*'Conv Calendar'!X$9</f>
        <v>0</v>
      </c>
      <c r="F17" s="519">
        <f>'Conv Energy'!F158*'Conv Calendar'!Y$9</f>
        <v>0</v>
      </c>
      <c r="G17" s="519">
        <f>'Conv Energy'!G158*'Conv Calendar'!Z$9</f>
        <v>0</v>
      </c>
      <c r="H17" s="519">
        <f>'Conv Energy'!H158*'Conv Calendar'!AA$9</f>
        <v>0</v>
      </c>
      <c r="I17" s="519">
        <f>'Conv Energy'!I158*'Conv Calendar'!AB$9</f>
        <v>0</v>
      </c>
      <c r="J17" s="519">
        <f>'Conv Energy'!J158*'Conv Calendar'!AC$9</f>
        <v>0</v>
      </c>
      <c r="K17" s="519">
        <f>'Conv Energy'!K158*'Conv Calendar'!AD$9</f>
        <v>0</v>
      </c>
      <c r="L17" s="519">
        <f>'Conv Energy'!L158*'Conv Calendar'!AE$9</f>
        <v>0</v>
      </c>
      <c r="M17" s="519">
        <f>'Conv Energy'!M158*'Conv Calendar'!AF$9</f>
        <v>0</v>
      </c>
      <c r="N17" s="519">
        <f>'Conv Energy'!N158*'Conv Calendar'!AG$9</f>
        <v>0</v>
      </c>
      <c r="O17" s="520">
        <f>'Conv Energy'!O158*'Conv Calendar'!AH$9</f>
        <v>0</v>
      </c>
    </row>
    <row r="18" spans="1:15" s="496" customFormat="1">
      <c r="A18" s="1421"/>
      <c r="B18" s="517" t="str">
        <f>'Conv Energy'!B159</f>
        <v>NEg</v>
      </c>
      <c r="C18" s="517" t="str">
        <f>'Conv Energy'!C159</f>
        <v>kg/day</v>
      </c>
      <c r="D18" s="518">
        <f>'Conv Energy'!D159*'Conv Calendar'!W$9</f>
        <v>0</v>
      </c>
      <c r="E18" s="519">
        <f>'Conv Energy'!E159*'Conv Calendar'!X$9</f>
        <v>0</v>
      </c>
      <c r="F18" s="519">
        <f>'Conv Energy'!F159*'Conv Calendar'!Y$9</f>
        <v>0</v>
      </c>
      <c r="G18" s="519">
        <f>'Conv Energy'!G159*'Conv Calendar'!Z$9</f>
        <v>0</v>
      </c>
      <c r="H18" s="519">
        <f>'Conv Energy'!H159*'Conv Calendar'!AA$9</f>
        <v>0</v>
      </c>
      <c r="I18" s="519">
        <f>'Conv Energy'!I159*'Conv Calendar'!AB$9</f>
        <v>0</v>
      </c>
      <c r="J18" s="519">
        <f>'Conv Energy'!J159*'Conv Calendar'!AC$9</f>
        <v>0</v>
      </c>
      <c r="K18" s="519">
        <f>'Conv Energy'!K159*'Conv Calendar'!AD$9</f>
        <v>0</v>
      </c>
      <c r="L18" s="519">
        <f>'Conv Energy'!L159*'Conv Calendar'!AE$9</f>
        <v>0</v>
      </c>
      <c r="M18" s="519">
        <f>'Conv Energy'!M159*'Conv Calendar'!AF$9</f>
        <v>0</v>
      </c>
      <c r="N18" s="519">
        <f>'Conv Energy'!N159*'Conv Calendar'!AG$9</f>
        <v>0</v>
      </c>
      <c r="O18" s="520">
        <f>'Conv Energy'!O159*'Conv Calendar'!AH$9</f>
        <v>0</v>
      </c>
    </row>
    <row r="19" spans="1:15">
      <c r="A19" s="1421" t="str">
        <f>'Conv Energy'!A162</f>
        <v>Feeder Heifer 2</v>
      </c>
      <c r="B19" s="210" t="str">
        <f>'Conv Energy'!B162</f>
        <v>NEm</v>
      </c>
      <c r="C19" s="245" t="str">
        <f>'Conv Energy'!C162</f>
        <v>kg/day</v>
      </c>
      <c r="D19" s="457">
        <f>'Conv Energy'!D162*'Conv Calendar'!W$11</f>
        <v>378683.91948146222</v>
      </c>
      <c r="E19" s="455">
        <f>'Conv Energy'!E162*'Conv Calendar'!X$11</f>
        <v>403977.84078552038</v>
      </c>
      <c r="F19" s="454">
        <f>'Conv Energy'!F162*'Conv Calendar'!Y$11</f>
        <v>353104.50945008703</v>
      </c>
      <c r="G19" s="454">
        <f>'Conv Energy'!G162*'Conv Calendar'!Z$11</f>
        <v>382974.45768274134</v>
      </c>
      <c r="H19" s="454">
        <f>'Conv Energy'!H162*'Conv Calendar'!AA$11</f>
        <v>412086.3806353953</v>
      </c>
      <c r="I19" s="454">
        <f>'Conv Energy'!I162*'Conv Calendar'!AB$11</f>
        <v>440527.70682646125</v>
      </c>
      <c r="J19" s="454">
        <f>'Conv Energy'!J162*'Conv Calendar'!AC$11</f>
        <v>468369.22999878222</v>
      </c>
      <c r="K19" s="459">
        <f>'Conv Energy'!K162*'Conv Calendar'!AD$11</f>
        <v>0</v>
      </c>
      <c r="L19" s="459">
        <f>'Conv Energy'!L162*'Conv Calendar'!AE$11</f>
        <v>0</v>
      </c>
      <c r="M19" s="459">
        <f>'Conv Energy'!M162*'Conv Calendar'!AF$11</f>
        <v>0</v>
      </c>
      <c r="N19" s="459">
        <f>'Conv Energy'!N162*'Conv Calendar'!AG$11</f>
        <v>0</v>
      </c>
      <c r="O19" s="460">
        <f>'Conv Energy'!O162*'Conv Calendar'!AH$11</f>
        <v>0</v>
      </c>
    </row>
    <row r="20" spans="1:15">
      <c r="A20" s="1421"/>
      <c r="B20" s="210" t="str">
        <f>'Conv Energy'!B163</f>
        <v>NEg</v>
      </c>
      <c r="C20" s="245" t="str">
        <f>'Conv Energy'!C163</f>
        <v>kg/day</v>
      </c>
      <c r="D20" s="457">
        <f>'Conv Energy'!D163*'Conv Calendar'!W$11</f>
        <v>465207.45931494643</v>
      </c>
      <c r="E20" s="455">
        <f>'Conv Energy'!E163*'Conv Calendar'!X$11</f>
        <v>725096.82038714667</v>
      </c>
      <c r="F20" s="454">
        <f>'Conv Energy'!F163*'Conv Calendar'!Y$11</f>
        <v>579255.16861380427</v>
      </c>
      <c r="G20" s="454">
        <f>'Conv Energy'!G163*'Conv Calendar'!Z$11</f>
        <v>628255.7376717804</v>
      </c>
      <c r="H20" s="454">
        <f>'Conv Energy'!H163*'Conv Calendar'!AA$11</f>
        <v>676012.79369146656</v>
      </c>
      <c r="I20" s="454">
        <f>'Conv Energy'!I163*'Conv Calendar'!AB$11</f>
        <v>722669.75999320927</v>
      </c>
      <c r="J20" s="454">
        <f>'Conv Energy'!J163*'Conv Calendar'!AC$11</f>
        <v>768342.77115005965</v>
      </c>
      <c r="K20" s="459">
        <f>'Conv Energy'!K163*'Conv Calendar'!AD$11</f>
        <v>0</v>
      </c>
      <c r="L20" s="459">
        <f>'Conv Energy'!L163*'Conv Calendar'!AE$11</f>
        <v>0</v>
      </c>
      <c r="M20" s="459">
        <f>'Conv Energy'!M163*'Conv Calendar'!AF$11</f>
        <v>0</v>
      </c>
      <c r="N20" s="459">
        <f>'Conv Energy'!N163*'Conv Calendar'!AG$11</f>
        <v>0</v>
      </c>
      <c r="O20" s="460">
        <f>'Conv Energy'!O163*'Conv Calendar'!AH$11</f>
        <v>0</v>
      </c>
    </row>
    <row r="21" spans="1:15">
      <c r="A21" s="1421" t="str">
        <f>'Conv Energy'!A166</f>
        <v>Feeder Heifer 1</v>
      </c>
      <c r="B21" s="210" t="str">
        <f>'Conv Energy'!B166</f>
        <v>NEm</v>
      </c>
      <c r="C21" s="245" t="str">
        <f>'Conv Energy'!C166</f>
        <v>kg/day</v>
      </c>
      <c r="D21" s="458">
        <f>'Conv Energy'!D166*'Conv Calendar'!W$13</f>
        <v>0</v>
      </c>
      <c r="E21" s="459">
        <f>'Conv Energy'!E166*'Conv Calendar'!X$13</f>
        <v>0</v>
      </c>
      <c r="F21" s="459">
        <f>'Conv Energy'!F166*'Conv Calendar'!Y$13</f>
        <v>0</v>
      </c>
      <c r="G21" s="459">
        <f>'Conv Energy'!G166*'Conv Calendar'!Z$13</f>
        <v>0</v>
      </c>
      <c r="H21" s="459">
        <f>'Conv Energy'!H166*'Conv Calendar'!AA$13</f>
        <v>0</v>
      </c>
      <c r="I21" s="459">
        <f>'Conv Energy'!I166*'Conv Calendar'!AB$13</f>
        <v>0</v>
      </c>
      <c r="J21" s="459">
        <f>'Conv Energy'!J166*'Conv Calendar'!AC$13</f>
        <v>0</v>
      </c>
      <c r="K21" s="459">
        <f>'Conv Energy'!K166*'Conv Calendar'!AD$13</f>
        <v>0</v>
      </c>
      <c r="L21" s="459">
        <f>'Conv Energy'!L166*'Conv Calendar'!AE$13</f>
        <v>0</v>
      </c>
      <c r="M21" s="459">
        <f>'Conv Energy'!M166*'Conv Calendar'!AF$13</f>
        <v>0</v>
      </c>
      <c r="N21" s="455">
        <f>'Conv Energy'!N166*'Conv Calendar'!AG$13</f>
        <v>326293.5742915041</v>
      </c>
      <c r="O21" s="456">
        <f>'Conv Energy'!O166*'Conv Calendar'!AH$13</f>
        <v>281537.89542247029</v>
      </c>
    </row>
    <row r="22" spans="1:15">
      <c r="A22" s="1421"/>
      <c r="B22" s="210" t="str">
        <f>'Conv Energy'!B167</f>
        <v>NEg</v>
      </c>
      <c r="C22" s="245" t="str">
        <f>'Conv Energy'!C167</f>
        <v>kg/day</v>
      </c>
      <c r="D22" s="458">
        <f>'Conv Energy'!D167*'Conv Calendar'!W$13</f>
        <v>0</v>
      </c>
      <c r="E22" s="459">
        <f>'Conv Energy'!E167*'Conv Calendar'!X$13</f>
        <v>0</v>
      </c>
      <c r="F22" s="459">
        <f>'Conv Energy'!F167*'Conv Calendar'!Y$13</f>
        <v>0</v>
      </c>
      <c r="G22" s="459">
        <f>'Conv Energy'!G167*'Conv Calendar'!Z$13</f>
        <v>0</v>
      </c>
      <c r="H22" s="459">
        <f>'Conv Energy'!H167*'Conv Calendar'!AA$13</f>
        <v>0</v>
      </c>
      <c r="I22" s="459">
        <f>'Conv Energy'!I167*'Conv Calendar'!AB$13</f>
        <v>0</v>
      </c>
      <c r="J22" s="459">
        <f>'Conv Energy'!J167*'Conv Calendar'!AC$13</f>
        <v>0</v>
      </c>
      <c r="K22" s="459">
        <f>'Conv Energy'!K167*'Conv Calendar'!AD$13</f>
        <v>0</v>
      </c>
      <c r="L22" s="459">
        <f>'Conv Energy'!L167*'Conv Calendar'!AE$13</f>
        <v>0</v>
      </c>
      <c r="M22" s="459">
        <f>'Conv Energy'!M167*'Conv Calendar'!AF$13</f>
        <v>0</v>
      </c>
      <c r="N22" s="455">
        <f>'Conv Energy'!N167*'Conv Calendar'!AG$13</f>
        <v>141659.79265384463</v>
      </c>
      <c r="O22" s="456">
        <f>'Conv Energy'!O167*'Conv Calendar'!AH$13</f>
        <v>316107.54553483136</v>
      </c>
    </row>
    <row r="23" spans="1:15">
      <c r="A23" s="1421" t="str">
        <f>'Conv Energy'!A170</f>
        <v>Replacement heifers</v>
      </c>
      <c r="B23" s="210" t="str">
        <f>'Conv Energy'!B170</f>
        <v>NEm</v>
      </c>
      <c r="C23" s="245" t="str">
        <f>'Conv Energy'!C170</f>
        <v>kg/day</v>
      </c>
      <c r="D23" s="242">
        <f>'Conv Energy'!D170*'Conv Calendar'!W$14</f>
        <v>312330.27117795189</v>
      </c>
      <c r="E23" s="234">
        <f>'Conv Energy'!E170*'Conv Calendar'!X$14</f>
        <v>321628.12116228294</v>
      </c>
      <c r="F23" s="234">
        <f>'Conv Energy'!F170*'Conv Calendar'!Y$14</f>
        <v>330837.21116203966</v>
      </c>
      <c r="G23" s="234">
        <f>'Conv Energy'!G170*'Conv Calendar'!Z$14</f>
        <v>339961.62279927603</v>
      </c>
      <c r="H23" s="230">
        <f>'Conv Energy'!H170*'Conv Calendar'!AA$14</f>
        <v>259572.55188363034</v>
      </c>
      <c r="I23" s="230">
        <f>'Conv Energy'!I170*'Conv Calendar'!AB$14</f>
        <v>272854.30247770064</v>
      </c>
      <c r="J23" s="230">
        <f>'Conv Energy'!J170*'Conv Calendar'!AC$14</f>
        <v>285923.86204099911</v>
      </c>
      <c r="K23" s="230">
        <f>'Conv Energy'!K170*'Conv Calendar'!AD$14</f>
        <v>0</v>
      </c>
      <c r="L23" s="230">
        <f>'Conv Energy'!L170*'Conv Calendar'!AE$14</f>
        <v>0</v>
      </c>
      <c r="M23" s="230">
        <f>'Conv Energy'!M170*'Conv Calendar'!AF$14</f>
        <v>0</v>
      </c>
      <c r="N23" s="234">
        <f>'Conv Energy'!N170*'Conv Calendar'!AG$14</f>
        <v>293450.07260051288</v>
      </c>
      <c r="O23" s="238">
        <f>'Conv Energy'!O170*'Conv Calendar'!AH$14</f>
        <v>302939.21116473322</v>
      </c>
    </row>
    <row r="24" spans="1:15" ht="15" thickBot="1">
      <c r="A24" s="1421"/>
      <c r="B24" s="210" t="str">
        <f>'Conv Energy'!B171</f>
        <v>NEg</v>
      </c>
      <c r="C24" s="245" t="str">
        <f>'Conv Energy'!C171</f>
        <v>kg/day</v>
      </c>
      <c r="D24" s="242">
        <f>'Conv Energy'!D171*'Conv Calendar'!W$14</f>
        <v>210773.45256639604</v>
      </c>
      <c r="E24" s="235">
        <f>'Conv Energy'!E171*'Conv Calendar'!X$14</f>
        <v>217048.02830716793</v>
      </c>
      <c r="F24" s="235">
        <f>'Conv Energy'!F171*'Conv Calendar'!Y$14</f>
        <v>223262.70512002631</v>
      </c>
      <c r="G24" s="235">
        <f>'Conv Energy'!G171*'Conv Calendar'!Z$14</f>
        <v>229420.23745323252</v>
      </c>
      <c r="H24" s="231">
        <f>'Conv Energy'!H171*'Conv Calendar'!AA$14</f>
        <v>242856.00565696153</v>
      </c>
      <c r="I24" s="231">
        <f>'Conv Energy'!I171*'Conv Calendar'!AB$14</f>
        <v>255282.40773222389</v>
      </c>
      <c r="J24" s="231">
        <f>'Conv Energy'!J171*'Conv Calendar'!AC$14</f>
        <v>267510.28393949469</v>
      </c>
      <c r="K24" s="231">
        <f>'Conv Energy'!K171*'Conv Calendar'!AD$14</f>
        <v>0</v>
      </c>
      <c r="L24" s="231">
        <f>'Conv Energy'!L171*'Conv Calendar'!AE$14</f>
        <v>0</v>
      </c>
      <c r="M24" s="231">
        <f>'Conv Energy'!M171*'Conv Calendar'!AF$14</f>
        <v>0</v>
      </c>
      <c r="N24" s="235">
        <f>'Conv Energy'!N171*'Conv Calendar'!AG$14</f>
        <v>198032.30959521519</v>
      </c>
      <c r="O24" s="239">
        <f>'Conv Energy'!O171*'Conv Calendar'!AH$14</f>
        <v>204435.97482279126</v>
      </c>
    </row>
    <row r="25" spans="1:15" s="164" customFormat="1" ht="15" thickTop="1">
      <c r="A25" s="220" t="s">
        <v>228</v>
      </c>
      <c r="B25" s="228"/>
      <c r="C25" s="246" t="s">
        <v>103</v>
      </c>
      <c r="D25" s="243">
        <f>SUM(D5:D10)+SUM(D23:D24)</f>
        <v>4377352.2178142304</v>
      </c>
      <c r="E25" s="236">
        <f t="shared" ref="E25:O25" si="0">SUM(E5:E10)+SUM(E23:E24)</f>
        <v>4749182.8267281996</v>
      </c>
      <c r="F25" s="236">
        <f t="shared" si="0"/>
        <v>5148057.9014996467</v>
      </c>
      <c r="G25" s="236">
        <f t="shared" si="0"/>
        <v>7100885.3006455582</v>
      </c>
      <c r="H25" s="232">
        <f t="shared" si="0"/>
        <v>5126869.6350175152</v>
      </c>
      <c r="I25" s="232">
        <f t="shared" si="0"/>
        <v>5619529.5809859363</v>
      </c>
      <c r="J25" s="232">
        <f t="shared" si="0"/>
        <v>4640894.6451719059</v>
      </c>
      <c r="K25" s="232">
        <f t="shared" si="0"/>
        <v>3796169.9136038106</v>
      </c>
      <c r="L25" s="232">
        <f t="shared" si="0"/>
        <v>3499071.2337064724</v>
      </c>
      <c r="M25" s="232">
        <f t="shared" si="0"/>
        <v>3254938.249544837</v>
      </c>
      <c r="N25" s="236">
        <f t="shared" si="0"/>
        <v>3978571.0878096852</v>
      </c>
      <c r="O25" s="240">
        <f t="shared" si="0"/>
        <v>4121668.8434900651</v>
      </c>
    </row>
    <row r="26" spans="1:15" s="164" customFormat="1" ht="15" thickBot="1">
      <c r="A26" s="311" t="s">
        <v>228</v>
      </c>
      <c r="B26" s="312"/>
      <c r="C26" s="313" t="s">
        <v>104</v>
      </c>
      <c r="D26" s="314">
        <f>D25*30.4</f>
        <v>133071507.4215526</v>
      </c>
      <c r="E26" s="314">
        <f t="shared" ref="E26:O26" si="1">E25*30.4</f>
        <v>144375157.93253726</v>
      </c>
      <c r="F26" s="314">
        <f t="shared" si="1"/>
        <v>156500960.20558926</v>
      </c>
      <c r="G26" s="314">
        <f t="shared" si="1"/>
        <v>215866913.13962495</v>
      </c>
      <c r="H26" s="315">
        <f t="shared" si="1"/>
        <v>155856836.90453246</v>
      </c>
      <c r="I26" s="315">
        <f t="shared" si="1"/>
        <v>170833699.26197246</v>
      </c>
      <c r="J26" s="315">
        <f t="shared" si="1"/>
        <v>141083197.21322593</v>
      </c>
      <c r="K26" s="315">
        <f t="shared" si="1"/>
        <v>115403565.37355584</v>
      </c>
      <c r="L26" s="315">
        <f t="shared" si="1"/>
        <v>106371765.50467676</v>
      </c>
      <c r="M26" s="315">
        <f t="shared" si="1"/>
        <v>98950122.786163047</v>
      </c>
      <c r="N26" s="314">
        <f t="shared" si="1"/>
        <v>120948561.06941442</v>
      </c>
      <c r="O26" s="316">
        <f t="shared" si="1"/>
        <v>125298732.84209797</v>
      </c>
    </row>
    <row r="27" spans="1:15" s="336" customFormat="1" ht="15" thickBot="1">
      <c r="A27" s="1324" t="s">
        <v>238</v>
      </c>
      <c r="B27" s="1314"/>
      <c r="C27" s="1314"/>
      <c r="D27" s="1314"/>
      <c r="E27" s="1314"/>
      <c r="F27" s="1314"/>
      <c r="G27" s="1314"/>
      <c r="H27" s="1314"/>
      <c r="I27" s="1314"/>
      <c r="J27" s="1314"/>
      <c r="K27" s="1314"/>
      <c r="L27" s="1314"/>
      <c r="M27" s="1314"/>
      <c r="N27" s="1314"/>
      <c r="O27" s="1424"/>
    </row>
    <row r="28" spans="1:15" s="336" customFormat="1">
      <c r="A28" s="629" t="s">
        <v>229</v>
      </c>
      <c r="B28" s="483" t="s">
        <v>236</v>
      </c>
      <c r="C28" s="484" t="s">
        <v>251</v>
      </c>
      <c r="D28" s="472"/>
      <c r="E28" s="472"/>
      <c r="F28" s="472"/>
      <c r="G28" s="472"/>
      <c r="H28" s="472"/>
      <c r="I28" s="472"/>
      <c r="J28" s="472"/>
      <c r="K28" s="472"/>
      <c r="L28" s="472"/>
      <c r="M28" s="472"/>
      <c r="N28" s="472"/>
      <c r="O28" s="473"/>
    </row>
    <row r="29" spans="1:15" s="336" customFormat="1">
      <c r="A29" s="630" t="s">
        <v>230</v>
      </c>
      <c r="B29" s="474">
        <v>0.9</v>
      </c>
      <c r="C29" s="334" t="s">
        <v>103</v>
      </c>
      <c r="D29" s="335">
        <f>D$32*$B$29</f>
        <v>2188922.8379375283</v>
      </c>
      <c r="E29" s="335">
        <f>E$32*$B$29</f>
        <v>1016167.1950554004</v>
      </c>
      <c r="F29" s="335"/>
      <c r="G29" s="335"/>
      <c r="H29" s="335"/>
      <c r="I29" s="335"/>
      <c r="J29" s="335"/>
      <c r="K29" s="335"/>
      <c r="L29" s="335"/>
      <c r="M29" s="335"/>
      <c r="N29" s="335">
        <f>N$32*$B$29</f>
        <v>1627281.3126605183</v>
      </c>
      <c r="O29" s="475">
        <f>O$32*$B$29</f>
        <v>1857230.1505039271</v>
      </c>
    </row>
    <row r="30" spans="1:15" s="336" customFormat="1">
      <c r="A30" s="630" t="s">
        <v>231</v>
      </c>
      <c r="B30" s="461">
        <v>0.1</v>
      </c>
      <c r="C30" s="334" t="s">
        <v>103</v>
      </c>
      <c r="D30" s="335">
        <f>D$32*$B$30</f>
        <v>243213.64865972535</v>
      </c>
      <c r="E30" s="335">
        <f>E$32*$B$30</f>
        <v>112907.46611726671</v>
      </c>
      <c r="F30" s="335"/>
      <c r="G30" s="335"/>
      <c r="H30" s="335"/>
      <c r="I30" s="335"/>
      <c r="J30" s="335"/>
      <c r="K30" s="335"/>
      <c r="L30" s="335"/>
      <c r="M30" s="335"/>
      <c r="N30" s="335">
        <f>N$32*$B$30</f>
        <v>180809.0347400576</v>
      </c>
      <c r="O30" s="475">
        <f>O$32*$B$30</f>
        <v>206358.90561154747</v>
      </c>
    </row>
    <row r="31" spans="1:15" s="336" customFormat="1">
      <c r="A31" s="630" t="s">
        <v>237</v>
      </c>
      <c r="B31" s="461">
        <v>0</v>
      </c>
      <c r="C31" s="334" t="s">
        <v>103</v>
      </c>
      <c r="D31" s="335">
        <f>D$32*$B$31</f>
        <v>0</v>
      </c>
      <c r="E31" s="335">
        <f>E$32*$B$31</f>
        <v>0</v>
      </c>
      <c r="F31" s="335"/>
      <c r="G31" s="335"/>
      <c r="H31" s="335"/>
      <c r="I31" s="335"/>
      <c r="J31" s="335"/>
      <c r="K31" s="335"/>
      <c r="L31" s="335"/>
      <c r="M31" s="335"/>
      <c r="N31" s="335">
        <f>N$32*$B$31</f>
        <v>0</v>
      </c>
      <c r="O31" s="475">
        <f>O$32*$B$31</f>
        <v>0</v>
      </c>
    </row>
    <row r="32" spans="1:15" s="336" customFormat="1" ht="15" thickBot="1">
      <c r="A32" s="631" t="s">
        <v>32</v>
      </c>
      <c r="B32" s="477">
        <f>SUM(B29:B31)</f>
        <v>1</v>
      </c>
      <c r="C32" s="478" t="s">
        <v>103</v>
      </c>
      <c r="D32" s="479">
        <f>SUM(D13:D14,D19:D20)</f>
        <v>2432136.4865972535</v>
      </c>
      <c r="E32" s="479">
        <f>SUM(E19:E20)</f>
        <v>1129074.6611726671</v>
      </c>
      <c r="F32" s="479"/>
      <c r="G32" s="479"/>
      <c r="H32" s="479"/>
      <c r="I32" s="479"/>
      <c r="J32" s="479"/>
      <c r="K32" s="479"/>
      <c r="L32" s="479"/>
      <c r="M32" s="479"/>
      <c r="N32" s="479">
        <f>SUM(N15:N16,N21:N22)</f>
        <v>1808090.3474005759</v>
      </c>
      <c r="O32" s="480">
        <f>SUM(O15:O16,O21:O22)</f>
        <v>2063589.0561154746</v>
      </c>
    </row>
    <row r="33" spans="1:15" s="336" customFormat="1">
      <c r="A33" s="632" t="s">
        <v>232</v>
      </c>
      <c r="B33" s="470"/>
      <c r="C33" s="471"/>
      <c r="D33" s="472"/>
      <c r="E33" s="472"/>
      <c r="F33" s="472"/>
      <c r="G33" s="472"/>
      <c r="H33" s="472"/>
      <c r="I33" s="472"/>
      <c r="J33" s="472"/>
      <c r="K33" s="472"/>
      <c r="L33" s="472"/>
      <c r="M33" s="472"/>
      <c r="N33" s="472"/>
      <c r="O33" s="473"/>
    </row>
    <row r="34" spans="1:15" s="336" customFormat="1">
      <c r="A34" s="633" t="s">
        <v>233</v>
      </c>
      <c r="B34" s="461">
        <v>0.55000000000000004</v>
      </c>
      <c r="C34" s="334" t="s">
        <v>103</v>
      </c>
      <c r="D34" s="335"/>
      <c r="E34" s="335">
        <f t="shared" ref="E34:J34" si="2">E$39*$B$34</f>
        <v>874532.20496875711</v>
      </c>
      <c r="F34" s="335">
        <f t="shared" si="2"/>
        <v>1469060.8461911222</v>
      </c>
      <c r="G34" s="335">
        <f t="shared" si="2"/>
        <v>1591902.3958735357</v>
      </c>
      <c r="H34" s="335">
        <f t="shared" si="2"/>
        <v>1711658.713770353</v>
      </c>
      <c r="I34" s="335">
        <f t="shared" si="2"/>
        <v>1828682.3129582501</v>
      </c>
      <c r="J34" s="335">
        <f t="shared" si="2"/>
        <v>1943259.2081703024</v>
      </c>
      <c r="K34" s="335"/>
      <c r="L34" s="335"/>
      <c r="M34" s="335"/>
      <c r="N34" s="335"/>
      <c r="O34" s="481"/>
    </row>
    <row r="35" spans="1:15" s="336" customFormat="1">
      <c r="A35" s="633" t="s">
        <v>234</v>
      </c>
      <c r="B35" s="461">
        <v>0.25</v>
      </c>
      <c r="C35" s="334" t="s">
        <v>103</v>
      </c>
      <c r="D35" s="335"/>
      <c r="E35" s="335">
        <f t="shared" ref="E35:J35" si="3">E$39*$B$35</f>
        <v>397514.63862216228</v>
      </c>
      <c r="F35" s="335">
        <f t="shared" si="3"/>
        <v>667754.9300868737</v>
      </c>
      <c r="G35" s="335">
        <f t="shared" si="3"/>
        <v>723591.99812433438</v>
      </c>
      <c r="H35" s="335">
        <f t="shared" si="3"/>
        <v>778026.68807743315</v>
      </c>
      <c r="I35" s="335">
        <f t="shared" si="3"/>
        <v>831219.23316284083</v>
      </c>
      <c r="J35" s="335">
        <f t="shared" si="3"/>
        <v>883299.64007741015</v>
      </c>
      <c r="K35" s="335"/>
      <c r="L35" s="335"/>
      <c r="M35" s="335"/>
      <c r="N35" s="335"/>
      <c r="O35" s="481"/>
    </row>
    <row r="36" spans="1:15" s="336" customFormat="1">
      <c r="A36" s="633" t="s">
        <v>235</v>
      </c>
      <c r="B36" s="461">
        <v>0.18</v>
      </c>
      <c r="C36" s="334" t="s">
        <v>103</v>
      </c>
      <c r="D36" s="335"/>
      <c r="E36" s="335">
        <f t="shared" ref="E36:J36" si="4">E$39*$B$36</f>
        <v>286210.53980795684</v>
      </c>
      <c r="F36" s="335">
        <f t="shared" si="4"/>
        <v>480783.54966254905</v>
      </c>
      <c r="G36" s="335">
        <f t="shared" si="4"/>
        <v>520986.23864952073</v>
      </c>
      <c r="H36" s="335">
        <f t="shared" si="4"/>
        <v>560179.21541575179</v>
      </c>
      <c r="I36" s="335">
        <f t="shared" si="4"/>
        <v>598477.8478772454</v>
      </c>
      <c r="J36" s="335">
        <f t="shared" si="4"/>
        <v>635975.74085573526</v>
      </c>
      <c r="K36" s="335"/>
      <c r="L36" s="335"/>
      <c r="M36" s="335"/>
      <c r="N36" s="335"/>
      <c r="O36" s="481"/>
    </row>
    <row r="37" spans="1:15" s="336" customFormat="1">
      <c r="A37" s="633" t="s">
        <v>231</v>
      </c>
      <c r="B37" s="461">
        <v>0.02</v>
      </c>
      <c r="C37" s="334" t="s">
        <v>103</v>
      </c>
      <c r="D37" s="335"/>
      <c r="E37" s="335">
        <f t="shared" ref="E37:J37" si="5">E$39*$B$37</f>
        <v>31801.171089772983</v>
      </c>
      <c r="F37" s="335">
        <f t="shared" si="5"/>
        <v>53420.394406949898</v>
      </c>
      <c r="G37" s="335">
        <f t="shared" si="5"/>
        <v>57887.359849946748</v>
      </c>
      <c r="H37" s="335">
        <f t="shared" si="5"/>
        <v>62242.135046194657</v>
      </c>
      <c r="I37" s="335">
        <f t="shared" si="5"/>
        <v>66497.538653027266</v>
      </c>
      <c r="J37" s="335">
        <f t="shared" si="5"/>
        <v>70663.971206192815</v>
      </c>
      <c r="K37" s="335"/>
      <c r="L37" s="335"/>
      <c r="M37" s="335"/>
      <c r="N37" s="335"/>
      <c r="O37" s="481"/>
    </row>
    <row r="38" spans="1:15" s="336" customFormat="1">
      <c r="A38" s="633" t="s">
        <v>237</v>
      </c>
      <c r="B38" s="461">
        <v>0</v>
      </c>
      <c r="C38" s="334" t="s">
        <v>103</v>
      </c>
      <c r="D38" s="335"/>
      <c r="E38" s="335">
        <f t="shared" ref="E38:J38" si="6">E$39*$B$38</f>
        <v>0</v>
      </c>
      <c r="F38" s="335">
        <f t="shared" si="6"/>
        <v>0</v>
      </c>
      <c r="G38" s="335">
        <f t="shared" si="6"/>
        <v>0</v>
      </c>
      <c r="H38" s="335">
        <f t="shared" si="6"/>
        <v>0</v>
      </c>
      <c r="I38" s="335">
        <f t="shared" si="6"/>
        <v>0</v>
      </c>
      <c r="J38" s="335">
        <f t="shared" si="6"/>
        <v>0</v>
      </c>
      <c r="K38" s="335"/>
      <c r="L38" s="335"/>
      <c r="M38" s="335"/>
      <c r="N38" s="335"/>
      <c r="O38" s="481"/>
    </row>
    <row r="39" spans="1:15" s="336" customFormat="1" ht="15" thickBot="1">
      <c r="A39" s="634" t="s">
        <v>32</v>
      </c>
      <c r="B39" s="477">
        <f>SUM(B34:B38)</f>
        <v>1</v>
      </c>
      <c r="C39" s="478" t="s">
        <v>103</v>
      </c>
      <c r="D39" s="479"/>
      <c r="E39" s="479">
        <f>SUM(E13:E14)</f>
        <v>1590058.5544886491</v>
      </c>
      <c r="F39" s="479">
        <f>SUM(F13:F14,F19:F20)</f>
        <v>2671019.7203474948</v>
      </c>
      <c r="G39" s="479">
        <f>SUM(G13:G14,G19:G20)</f>
        <v>2894367.9924973375</v>
      </c>
      <c r="H39" s="479">
        <f>SUM(H13:H14,H19:H20)</f>
        <v>3112106.7523097326</v>
      </c>
      <c r="I39" s="479">
        <f>SUM(I13:I14,I19:I20)</f>
        <v>3324876.9326513633</v>
      </c>
      <c r="J39" s="479">
        <f>SUM(J13:J14,J19:J20)</f>
        <v>3533198.5603096406</v>
      </c>
      <c r="K39" s="479"/>
      <c r="L39" s="479"/>
      <c r="M39" s="479"/>
      <c r="N39" s="479"/>
      <c r="O39" s="482"/>
    </row>
    <row r="40" spans="1:15" s="336" customFormat="1">
      <c r="A40" s="469" t="s">
        <v>229</v>
      </c>
      <c r="B40" s="483" t="s">
        <v>236</v>
      </c>
      <c r="C40" s="484" t="s">
        <v>251</v>
      </c>
      <c r="D40"/>
      <c r="E40"/>
      <c r="F40"/>
      <c r="G40"/>
      <c r="H40"/>
      <c r="I40"/>
      <c r="J40"/>
      <c r="K40"/>
      <c r="L40"/>
      <c r="M40"/>
      <c r="N40"/>
      <c r="O40"/>
    </row>
    <row r="41" spans="1:15">
      <c r="A41" s="333" t="s">
        <v>230</v>
      </c>
      <c r="B41" s="474">
        <v>0.9</v>
      </c>
      <c r="C41" s="334" t="s">
        <v>104</v>
      </c>
      <c r="D41" s="249">
        <f>D29*30.4</f>
        <v>66543254.273300856</v>
      </c>
      <c r="E41" s="249">
        <f t="shared" ref="E41:O41" si="7">E29*30.4</f>
        <v>30891482.72968417</v>
      </c>
      <c r="F41" s="249">
        <f t="shared" si="7"/>
        <v>0</v>
      </c>
      <c r="G41" s="249">
        <f t="shared" si="7"/>
        <v>0</v>
      </c>
      <c r="H41" s="249">
        <f t="shared" si="7"/>
        <v>0</v>
      </c>
      <c r="I41" s="249">
        <f t="shared" si="7"/>
        <v>0</v>
      </c>
      <c r="J41" s="249">
        <f t="shared" si="7"/>
        <v>0</v>
      </c>
      <c r="K41" s="249">
        <f t="shared" si="7"/>
        <v>0</v>
      </c>
      <c r="L41" s="249">
        <f t="shared" si="7"/>
        <v>0</v>
      </c>
      <c r="M41" s="249">
        <f t="shared" si="7"/>
        <v>0</v>
      </c>
      <c r="N41" s="249">
        <f t="shared" si="7"/>
        <v>49469351.904879756</v>
      </c>
      <c r="O41" s="249">
        <f t="shared" si="7"/>
        <v>56459796.57531938</v>
      </c>
    </row>
    <row r="42" spans="1:15">
      <c r="A42" s="333" t="s">
        <v>231</v>
      </c>
      <c r="B42" s="461">
        <v>0.1</v>
      </c>
      <c r="C42" s="334" t="s">
        <v>104</v>
      </c>
      <c r="D42" s="249">
        <f t="shared" ref="D42:O42" si="8">D30*30.4</f>
        <v>7393694.9192556506</v>
      </c>
      <c r="E42" s="249">
        <f t="shared" si="8"/>
        <v>3432386.969964908</v>
      </c>
      <c r="F42" s="249">
        <f t="shared" si="8"/>
        <v>0</v>
      </c>
      <c r="G42" s="249">
        <f t="shared" si="8"/>
        <v>0</v>
      </c>
      <c r="H42" s="249">
        <f t="shared" si="8"/>
        <v>0</v>
      </c>
      <c r="I42" s="249">
        <f t="shared" si="8"/>
        <v>0</v>
      </c>
      <c r="J42" s="249">
        <f t="shared" si="8"/>
        <v>0</v>
      </c>
      <c r="K42" s="249">
        <f t="shared" si="8"/>
        <v>0</v>
      </c>
      <c r="L42" s="249">
        <f t="shared" si="8"/>
        <v>0</v>
      </c>
      <c r="M42" s="249">
        <f t="shared" si="8"/>
        <v>0</v>
      </c>
      <c r="N42" s="249">
        <f t="shared" si="8"/>
        <v>5496594.6560977511</v>
      </c>
      <c r="O42" s="249">
        <f t="shared" si="8"/>
        <v>6273310.7305910429</v>
      </c>
    </row>
    <row r="43" spans="1:15">
      <c r="A43" s="333" t="s">
        <v>237</v>
      </c>
      <c r="B43" s="461">
        <v>0</v>
      </c>
      <c r="C43" s="334" t="s">
        <v>104</v>
      </c>
      <c r="D43" s="249">
        <f t="shared" ref="D43:O43" si="9">D31*30.4</f>
        <v>0</v>
      </c>
      <c r="E43" s="249">
        <f t="shared" si="9"/>
        <v>0</v>
      </c>
      <c r="F43" s="249">
        <f t="shared" si="9"/>
        <v>0</v>
      </c>
      <c r="G43" s="249">
        <f t="shared" si="9"/>
        <v>0</v>
      </c>
      <c r="H43" s="249">
        <f t="shared" si="9"/>
        <v>0</v>
      </c>
      <c r="I43" s="249">
        <f t="shared" si="9"/>
        <v>0</v>
      </c>
      <c r="J43" s="249">
        <f t="shared" si="9"/>
        <v>0</v>
      </c>
      <c r="K43" s="249">
        <f t="shared" si="9"/>
        <v>0</v>
      </c>
      <c r="L43" s="249">
        <f t="shared" si="9"/>
        <v>0</v>
      </c>
      <c r="M43" s="249">
        <f t="shared" si="9"/>
        <v>0</v>
      </c>
      <c r="N43" s="249">
        <f t="shared" si="9"/>
        <v>0</v>
      </c>
      <c r="O43" s="249">
        <f t="shared" si="9"/>
        <v>0</v>
      </c>
    </row>
    <row r="44" spans="1:15" ht="15" thickBot="1">
      <c r="A44" s="476" t="s">
        <v>32</v>
      </c>
      <c r="B44" s="477">
        <f>SUM(B41:B43)</f>
        <v>1</v>
      </c>
      <c r="C44" s="334" t="s">
        <v>104</v>
      </c>
      <c r="D44" s="249">
        <f t="shared" ref="D44:O44" si="10">D32*30.4</f>
        <v>73936949.1925565</v>
      </c>
      <c r="E44" s="249">
        <f t="shared" si="10"/>
        <v>34323869.699649073</v>
      </c>
      <c r="F44" s="249">
        <f t="shared" si="10"/>
        <v>0</v>
      </c>
      <c r="G44" s="249">
        <f t="shared" si="10"/>
        <v>0</v>
      </c>
      <c r="H44" s="249">
        <f t="shared" si="10"/>
        <v>0</v>
      </c>
      <c r="I44" s="249">
        <f t="shared" si="10"/>
        <v>0</v>
      </c>
      <c r="J44" s="249">
        <f t="shared" si="10"/>
        <v>0</v>
      </c>
      <c r="K44" s="249">
        <f t="shared" si="10"/>
        <v>0</v>
      </c>
      <c r="L44" s="249">
        <f t="shared" si="10"/>
        <v>0</v>
      </c>
      <c r="M44" s="249">
        <f t="shared" si="10"/>
        <v>0</v>
      </c>
      <c r="N44" s="249">
        <f t="shared" si="10"/>
        <v>54965946.560977504</v>
      </c>
      <c r="O44" s="249">
        <f t="shared" si="10"/>
        <v>62733107.305910423</v>
      </c>
    </row>
    <row r="45" spans="1:15">
      <c r="A45" s="469" t="s">
        <v>232</v>
      </c>
      <c r="B45" s="470"/>
      <c r="C45" s="471"/>
      <c r="D45" s="249"/>
      <c r="E45" s="249"/>
      <c r="F45" s="249"/>
      <c r="G45" s="249"/>
      <c r="H45" s="249"/>
      <c r="I45" s="249"/>
      <c r="J45" s="249"/>
      <c r="K45" s="249"/>
      <c r="L45" s="249"/>
      <c r="M45" s="249"/>
      <c r="N45" s="249"/>
      <c r="O45" s="249"/>
    </row>
    <row r="46" spans="1:15">
      <c r="A46" s="333" t="s">
        <v>233</v>
      </c>
      <c r="B46" s="461">
        <f>B34</f>
        <v>0.55000000000000004</v>
      </c>
      <c r="C46" s="334" t="s">
        <v>104</v>
      </c>
      <c r="D46" s="249">
        <f t="shared" ref="D46:O46" si="11">D34*30.4</f>
        <v>0</v>
      </c>
      <c r="E46" s="249">
        <f t="shared" si="11"/>
        <v>26585779.031050216</v>
      </c>
      <c r="F46" s="249">
        <f t="shared" si="11"/>
        <v>44659449.724210113</v>
      </c>
      <c r="G46" s="249">
        <f t="shared" si="11"/>
        <v>48393832.834555484</v>
      </c>
      <c r="H46" s="249">
        <f t="shared" si="11"/>
        <v>52034424.898618728</v>
      </c>
      <c r="I46" s="249">
        <f t="shared" si="11"/>
        <v>55591942.313930802</v>
      </c>
      <c r="J46" s="249">
        <f t="shared" si="11"/>
        <v>59075079.928377189</v>
      </c>
      <c r="K46" s="249">
        <f t="shared" si="11"/>
        <v>0</v>
      </c>
      <c r="L46" s="249">
        <f t="shared" si="11"/>
        <v>0</v>
      </c>
      <c r="M46" s="249">
        <f t="shared" si="11"/>
        <v>0</v>
      </c>
      <c r="N46" s="249">
        <f t="shared" si="11"/>
        <v>0</v>
      </c>
      <c r="O46" s="249">
        <f t="shared" si="11"/>
        <v>0</v>
      </c>
    </row>
    <row r="47" spans="1:15">
      <c r="A47" s="333" t="s">
        <v>234</v>
      </c>
      <c r="B47" s="461">
        <f>B35</f>
        <v>0.25</v>
      </c>
      <c r="C47" s="334" t="s">
        <v>104</v>
      </c>
      <c r="D47" s="249">
        <f t="shared" ref="D47:O47" si="12">D35*30.4</f>
        <v>0</v>
      </c>
      <c r="E47" s="249">
        <f t="shared" si="12"/>
        <v>12084445.014113734</v>
      </c>
      <c r="F47" s="249">
        <f t="shared" si="12"/>
        <v>20299749.87464096</v>
      </c>
      <c r="G47" s="249">
        <f t="shared" si="12"/>
        <v>21997196.742979765</v>
      </c>
      <c r="H47" s="249">
        <f t="shared" si="12"/>
        <v>23652011.317553967</v>
      </c>
      <c r="I47" s="249">
        <f t="shared" si="12"/>
        <v>25269064.688150361</v>
      </c>
      <c r="J47" s="249">
        <f t="shared" si="12"/>
        <v>26852309.058353268</v>
      </c>
      <c r="K47" s="249">
        <f t="shared" si="12"/>
        <v>0</v>
      </c>
      <c r="L47" s="249">
        <f t="shared" si="12"/>
        <v>0</v>
      </c>
      <c r="M47" s="249">
        <f t="shared" si="12"/>
        <v>0</v>
      </c>
      <c r="N47" s="249">
        <f t="shared" si="12"/>
        <v>0</v>
      </c>
      <c r="O47" s="249">
        <f t="shared" si="12"/>
        <v>0</v>
      </c>
    </row>
    <row r="48" spans="1:15">
      <c r="A48" s="333" t="s">
        <v>235</v>
      </c>
      <c r="B48" s="461">
        <f>B36</f>
        <v>0.18</v>
      </c>
      <c r="C48" s="334" t="s">
        <v>104</v>
      </c>
      <c r="D48" s="249">
        <f t="shared" ref="D48:O48" si="13">D36*30.4</f>
        <v>0</v>
      </c>
      <c r="E48" s="249">
        <f t="shared" si="13"/>
        <v>8700800.4101618882</v>
      </c>
      <c r="F48" s="249">
        <f t="shared" si="13"/>
        <v>14615819.909741491</v>
      </c>
      <c r="G48" s="249">
        <f t="shared" si="13"/>
        <v>15837981.654945429</v>
      </c>
      <c r="H48" s="249">
        <f t="shared" si="13"/>
        <v>17029448.148638852</v>
      </c>
      <c r="I48" s="249">
        <f t="shared" si="13"/>
        <v>18193726.575468261</v>
      </c>
      <c r="J48" s="249">
        <f t="shared" si="13"/>
        <v>19333662.52201435</v>
      </c>
      <c r="K48" s="249">
        <f t="shared" si="13"/>
        <v>0</v>
      </c>
      <c r="L48" s="249">
        <f t="shared" si="13"/>
        <v>0</v>
      </c>
      <c r="M48" s="249">
        <f t="shared" si="13"/>
        <v>0</v>
      </c>
      <c r="N48" s="249">
        <f t="shared" si="13"/>
        <v>0</v>
      </c>
      <c r="O48" s="249">
        <f t="shared" si="13"/>
        <v>0</v>
      </c>
    </row>
    <row r="49" spans="1:16">
      <c r="A49" s="333" t="s">
        <v>231</v>
      </c>
      <c r="B49" s="461">
        <f>B37</f>
        <v>0.02</v>
      </c>
      <c r="C49" s="334" t="s">
        <v>104</v>
      </c>
      <c r="D49" s="249">
        <f t="shared" ref="D49:O49" si="14">D37*30.4</f>
        <v>0</v>
      </c>
      <c r="E49" s="249">
        <f t="shared" si="14"/>
        <v>966755.60112909868</v>
      </c>
      <c r="F49" s="249">
        <f t="shared" si="14"/>
        <v>1623979.9899712768</v>
      </c>
      <c r="G49" s="249">
        <f t="shared" si="14"/>
        <v>1759775.739438381</v>
      </c>
      <c r="H49" s="249">
        <f t="shared" si="14"/>
        <v>1892160.9054043174</v>
      </c>
      <c r="I49" s="249">
        <f t="shared" si="14"/>
        <v>2021525.1750520288</v>
      </c>
      <c r="J49" s="249">
        <f t="shared" si="14"/>
        <v>2148184.7246682616</v>
      </c>
      <c r="K49" s="249">
        <f t="shared" si="14"/>
        <v>0</v>
      </c>
      <c r="L49" s="249">
        <f t="shared" si="14"/>
        <v>0</v>
      </c>
      <c r="M49" s="249">
        <f t="shared" si="14"/>
        <v>0</v>
      </c>
      <c r="N49" s="249">
        <f t="shared" si="14"/>
        <v>0</v>
      </c>
      <c r="O49" s="249">
        <f t="shared" si="14"/>
        <v>0</v>
      </c>
    </row>
    <row r="50" spans="1:16">
      <c r="A50" s="333" t="s">
        <v>237</v>
      </c>
      <c r="B50" s="461">
        <v>0</v>
      </c>
      <c r="C50" s="334" t="s">
        <v>104</v>
      </c>
      <c r="D50" s="249">
        <f t="shared" ref="D50:O51" si="15">D38*30.4</f>
        <v>0</v>
      </c>
      <c r="E50" s="249">
        <f t="shared" si="15"/>
        <v>0</v>
      </c>
      <c r="F50" s="249">
        <f t="shared" si="15"/>
        <v>0</v>
      </c>
      <c r="G50" s="249">
        <f t="shared" si="15"/>
        <v>0</v>
      </c>
      <c r="H50" s="249">
        <f t="shared" si="15"/>
        <v>0</v>
      </c>
      <c r="I50" s="249">
        <f t="shared" si="15"/>
        <v>0</v>
      </c>
      <c r="J50" s="249">
        <f t="shared" si="15"/>
        <v>0</v>
      </c>
      <c r="K50" s="249">
        <f t="shared" si="15"/>
        <v>0</v>
      </c>
      <c r="L50" s="249">
        <f t="shared" si="15"/>
        <v>0</v>
      </c>
      <c r="M50" s="249">
        <f t="shared" si="15"/>
        <v>0</v>
      </c>
      <c r="N50" s="249">
        <f t="shared" si="15"/>
        <v>0</v>
      </c>
      <c r="O50" s="249">
        <f t="shared" si="15"/>
        <v>0</v>
      </c>
    </row>
    <row r="51" spans="1:16" ht="15" thickBot="1">
      <c r="A51" s="476" t="s">
        <v>32</v>
      </c>
      <c r="B51" s="477">
        <f>SUM(B46:B50)</f>
        <v>1</v>
      </c>
      <c r="C51" s="334" t="s">
        <v>104</v>
      </c>
      <c r="D51" s="249">
        <f t="shared" si="15"/>
        <v>0</v>
      </c>
      <c r="E51" s="249">
        <f t="shared" si="15"/>
        <v>48337780.056454934</v>
      </c>
      <c r="F51" s="249">
        <f t="shared" si="15"/>
        <v>81198999.498563841</v>
      </c>
      <c r="G51" s="249">
        <f t="shared" si="15"/>
        <v>87988786.97191906</v>
      </c>
      <c r="H51" s="249">
        <f t="shared" si="15"/>
        <v>94608045.270215869</v>
      </c>
      <c r="I51" s="249">
        <f t="shared" si="15"/>
        <v>101076258.75260144</v>
      </c>
      <c r="J51" s="249">
        <f t="shared" si="15"/>
        <v>107409236.23341307</v>
      </c>
      <c r="K51" s="249">
        <f t="shared" si="15"/>
        <v>0</v>
      </c>
      <c r="L51" s="249">
        <f t="shared" si="15"/>
        <v>0</v>
      </c>
      <c r="M51" s="249">
        <f t="shared" si="15"/>
        <v>0</v>
      </c>
      <c r="N51" s="249">
        <f t="shared" si="15"/>
        <v>0</v>
      </c>
      <c r="O51" s="249">
        <f t="shared" si="15"/>
        <v>0</v>
      </c>
    </row>
    <row r="52" spans="1:16" ht="15" thickBot="1">
      <c r="A52" s="1324" t="s">
        <v>239</v>
      </c>
      <c r="B52" s="1314"/>
      <c r="C52" s="1314"/>
      <c r="D52" s="1314"/>
      <c r="E52" s="1314"/>
      <c r="F52" s="1314"/>
      <c r="G52" s="1314"/>
      <c r="H52" s="1314"/>
      <c r="I52" s="1314"/>
      <c r="J52" s="1314"/>
      <c r="K52" s="1314"/>
      <c r="L52" s="1314"/>
      <c r="M52" s="1314"/>
      <c r="N52" s="1314"/>
      <c r="O52" s="1424"/>
    </row>
    <row r="53" spans="1:16">
      <c r="A53" s="337" t="s">
        <v>92</v>
      </c>
      <c r="B53" s="71" t="s">
        <v>101</v>
      </c>
      <c r="C53" s="338" t="s">
        <v>108</v>
      </c>
      <c r="D53" s="339">
        <f>$H$72</f>
        <v>3174.5</v>
      </c>
      <c r="E53" s="339">
        <f>$H$72</f>
        <v>3174.5</v>
      </c>
      <c r="F53" s="339">
        <f>$H$72</f>
        <v>3174.5</v>
      </c>
      <c r="G53" s="339">
        <f>$H$72</f>
        <v>3174.5</v>
      </c>
      <c r="H53" s="340">
        <f t="shared" ref="H53:M53" si="16">B72</f>
        <v>730.1350000000001</v>
      </c>
      <c r="I53" s="340">
        <f t="shared" si="16"/>
        <v>1015.8400000000001</v>
      </c>
      <c r="J53" s="340">
        <f t="shared" si="16"/>
        <v>539.66500000000008</v>
      </c>
      <c r="K53" s="340">
        <f t="shared" si="16"/>
        <v>317.45000000000005</v>
      </c>
      <c r="L53" s="340">
        <f t="shared" si="16"/>
        <v>412.68500000000006</v>
      </c>
      <c r="M53" s="340">
        <f t="shared" si="16"/>
        <v>158.72500000000002</v>
      </c>
      <c r="N53" s="339">
        <f>$H$72</f>
        <v>3174.5</v>
      </c>
      <c r="O53" s="341">
        <f>$H$72</f>
        <v>3174.5</v>
      </c>
    </row>
    <row r="54" spans="1:16">
      <c r="A54" s="258" t="s">
        <v>162</v>
      </c>
      <c r="B54" s="6">
        <v>0.8</v>
      </c>
      <c r="C54" s="323" t="s">
        <v>163</v>
      </c>
      <c r="D54" s="346"/>
      <c r="E54" s="346"/>
      <c r="F54" s="346"/>
      <c r="G54" s="346"/>
      <c r="H54" s="322">
        <f t="shared" ref="H54:M54" si="17">H53*$B$54</f>
        <v>584.10800000000006</v>
      </c>
      <c r="I54" s="322">
        <f t="shared" si="17"/>
        <v>812.67200000000014</v>
      </c>
      <c r="J54" s="322">
        <f t="shared" si="17"/>
        <v>431.73200000000008</v>
      </c>
      <c r="K54" s="322">
        <f t="shared" si="17"/>
        <v>253.96000000000004</v>
      </c>
      <c r="L54" s="322">
        <f t="shared" si="17"/>
        <v>330.14800000000008</v>
      </c>
      <c r="M54" s="322">
        <f t="shared" si="17"/>
        <v>126.98000000000002</v>
      </c>
      <c r="N54" s="346"/>
      <c r="O54" s="347"/>
    </row>
    <row r="55" spans="1:16">
      <c r="A55" s="214" t="s">
        <v>164</v>
      </c>
      <c r="B55" s="1"/>
      <c r="C55" s="324" t="s">
        <v>102</v>
      </c>
      <c r="D55" s="66"/>
      <c r="E55" s="66"/>
      <c r="F55" s="66"/>
      <c r="G55" s="66"/>
      <c r="H55" s="288">
        <f t="shared" ref="H55:M55" si="18">H26/H54</f>
        <v>266828.80033235712</v>
      </c>
      <c r="I55" s="288">
        <f t="shared" si="18"/>
        <v>210212.36029046457</v>
      </c>
      <c r="J55" s="288">
        <f t="shared" si="18"/>
        <v>326784.20226720721</v>
      </c>
      <c r="K55" s="288">
        <f t="shared" si="18"/>
        <v>454416.30718835967</v>
      </c>
      <c r="L55" s="288">
        <f t="shared" si="18"/>
        <v>322194.1841376496</v>
      </c>
      <c r="M55" s="288">
        <f t="shared" si="18"/>
        <v>779257.54281117523</v>
      </c>
      <c r="N55" s="66"/>
      <c r="O55" s="348"/>
    </row>
    <row r="56" spans="1:16">
      <c r="A56" s="214" t="s">
        <v>169</v>
      </c>
      <c r="B56" s="1"/>
      <c r="C56" s="324"/>
      <c r="D56" s="66"/>
      <c r="E56" s="66"/>
      <c r="F56" s="66"/>
      <c r="G56" s="66"/>
      <c r="H56" s="288"/>
      <c r="I56" s="288"/>
      <c r="J56" s="288"/>
      <c r="K56" s="288"/>
      <c r="L56" s="288"/>
      <c r="M56" s="332">
        <f>((M26-(M54*L55))/((F67+G67)*B54*H72))+L55</f>
        <v>449156.22821362899</v>
      </c>
      <c r="N56" s="66"/>
      <c r="O56" s="348"/>
      <c r="P56" t="s">
        <v>170</v>
      </c>
    </row>
    <row r="57" spans="1:16">
      <c r="A57" s="214" t="s">
        <v>165</v>
      </c>
      <c r="B57" s="1"/>
      <c r="C57" s="324" t="s">
        <v>185</v>
      </c>
      <c r="D57" s="66"/>
      <c r="E57" s="66"/>
      <c r="F57" s="66"/>
      <c r="G57" s="66"/>
      <c r="H57" s="317">
        <f>($M$56-H55)*H53</f>
        <v>133123636.55609246</v>
      </c>
      <c r="I57" s="317">
        <f>($M$56-I55)*I53</f>
        <v>242728738.79106739</v>
      </c>
      <c r="J57" s="317">
        <f>($M$56-J55)*J53</f>
        <v>66039899.382375717</v>
      </c>
      <c r="K57" s="317">
        <f>($M$56-K55)*K53</f>
        <v>-1669812.070528256</v>
      </c>
      <c r="L57" s="317"/>
      <c r="M57" s="317"/>
      <c r="N57" s="66"/>
      <c r="O57" s="348"/>
    </row>
    <row r="58" spans="1:16" s="63" customFormat="1" ht="15" thickBot="1">
      <c r="A58" s="318"/>
      <c r="B58" s="208"/>
      <c r="C58" s="320"/>
      <c r="D58" s="319"/>
      <c r="E58" s="319"/>
      <c r="F58" s="319"/>
      <c r="G58" s="319"/>
      <c r="N58" s="319"/>
      <c r="O58" s="319"/>
    </row>
    <row r="59" spans="1:16">
      <c r="A59" s="325" t="s">
        <v>166</v>
      </c>
      <c r="B59" s="190"/>
      <c r="C59" s="326" t="s">
        <v>173</v>
      </c>
      <c r="D59" s="327">
        <f>SUM(D26:G26,N26:O26)</f>
        <v>896061832.61081648</v>
      </c>
      <c r="E59" s="319"/>
      <c r="F59" s="319"/>
      <c r="G59" s="319"/>
      <c r="H59" s="321"/>
      <c r="I59" s="321"/>
      <c r="J59" s="321"/>
      <c r="K59" s="321"/>
      <c r="L59" s="321"/>
      <c r="M59" s="321"/>
      <c r="N59" s="319"/>
      <c r="O59" s="319"/>
    </row>
    <row r="60" spans="1:16">
      <c r="A60" s="214" t="s">
        <v>167</v>
      </c>
      <c r="B60" s="1"/>
      <c r="C60" s="324" t="s">
        <v>173</v>
      </c>
      <c r="D60" s="328">
        <f>SUM(H57:K57)</f>
        <v>440222462.65900731</v>
      </c>
      <c r="E60" s="319"/>
      <c r="F60" s="319"/>
      <c r="G60" s="319"/>
      <c r="H60" s="321"/>
      <c r="I60" s="321"/>
      <c r="J60" s="321"/>
      <c r="K60" s="321"/>
      <c r="L60" s="321"/>
      <c r="M60" s="321"/>
      <c r="N60" s="319"/>
      <c r="O60" s="319"/>
    </row>
    <row r="61" spans="1:16">
      <c r="A61" s="214" t="s">
        <v>168</v>
      </c>
      <c r="B61" s="1"/>
      <c r="C61" s="323" t="s">
        <v>173</v>
      </c>
      <c r="D61" s="328">
        <f>D59-D60</f>
        <v>455839369.95180917</v>
      </c>
      <c r="E61" s="319"/>
      <c r="F61" s="319"/>
      <c r="G61" s="319"/>
      <c r="H61" s="321"/>
      <c r="I61" s="321"/>
      <c r="J61" s="321"/>
      <c r="K61" s="321"/>
      <c r="L61" s="321"/>
      <c r="M61" s="321"/>
      <c r="N61" s="319"/>
      <c r="O61" s="319"/>
    </row>
    <row r="62" spans="1:16" s="63" customFormat="1">
      <c r="A62" s="258" t="s">
        <v>171</v>
      </c>
      <c r="B62" s="22"/>
      <c r="C62" s="323" t="s">
        <v>174</v>
      </c>
      <c r="D62" s="328">
        <f>D61/H72</f>
        <v>143594.06834204099</v>
      </c>
      <c r="E62" s="319"/>
      <c r="F62" s="319"/>
      <c r="G62" s="319"/>
      <c r="H62" s="321"/>
      <c r="I62" s="321"/>
      <c r="J62" s="321"/>
      <c r="K62" s="321"/>
      <c r="L62" s="321"/>
      <c r="M62" s="321"/>
      <c r="N62" s="319"/>
      <c r="O62" s="319"/>
    </row>
    <row r="63" spans="1:16" ht="15" thickBot="1">
      <c r="A63" s="329" t="s">
        <v>172</v>
      </c>
      <c r="B63" s="213"/>
      <c r="C63" s="330" t="s">
        <v>174</v>
      </c>
      <c r="D63" s="331">
        <f>IF(D62&gt;0,M56+D62,M56)</f>
        <v>592750.29655566998</v>
      </c>
      <c r="E63" t="s">
        <v>214</v>
      </c>
    </row>
    <row r="65" spans="1:15" ht="15" thickBot="1">
      <c r="A65" s="290" t="s">
        <v>128</v>
      </c>
      <c r="B65" s="1"/>
      <c r="C65" s="1"/>
      <c r="D65" s="284"/>
      <c r="E65" s="1"/>
      <c r="F65" s="1"/>
      <c r="G65" s="1"/>
      <c r="H65" s="1"/>
    </row>
    <row r="66" spans="1:15">
      <c r="A66" s="285" t="s">
        <v>129</v>
      </c>
      <c r="B66" s="1" t="s">
        <v>0</v>
      </c>
      <c r="C66" s="1" t="s">
        <v>1</v>
      </c>
      <c r="D66" s="1" t="s">
        <v>2</v>
      </c>
      <c r="E66" s="1" t="s">
        <v>14</v>
      </c>
      <c r="F66" s="1" t="s">
        <v>6</v>
      </c>
      <c r="G66" s="1" t="s">
        <v>7</v>
      </c>
      <c r="H66" s="1" t="s">
        <v>138</v>
      </c>
      <c r="I66" t="s">
        <v>130</v>
      </c>
    </row>
    <row r="67" spans="1:15">
      <c r="A67" s="1" t="s">
        <v>136</v>
      </c>
      <c r="B67" s="286">
        <v>0.23</v>
      </c>
      <c r="C67" s="286">
        <v>0.32</v>
      </c>
      <c r="D67" s="286">
        <v>0.17</v>
      </c>
      <c r="E67" s="286">
        <v>0.1</v>
      </c>
      <c r="F67" s="286">
        <v>0.13</v>
      </c>
      <c r="G67" s="286">
        <v>0.05</v>
      </c>
      <c r="H67" s="1"/>
      <c r="I67" t="s">
        <v>131</v>
      </c>
    </row>
    <row r="68" spans="1:15">
      <c r="A68" s="1" t="s">
        <v>137</v>
      </c>
      <c r="B68" s="1">
        <f t="shared" ref="B68:G68" si="19">$H$68*B67</f>
        <v>0.80500000000000005</v>
      </c>
      <c r="C68" s="1">
        <f t="shared" si="19"/>
        <v>1.1200000000000001</v>
      </c>
      <c r="D68" s="1">
        <f t="shared" si="19"/>
        <v>0.59500000000000008</v>
      </c>
      <c r="E68" s="1">
        <f t="shared" si="19"/>
        <v>0.35000000000000003</v>
      </c>
      <c r="F68" s="1">
        <f t="shared" si="19"/>
        <v>0.45500000000000002</v>
      </c>
      <c r="G68" s="1">
        <f t="shared" si="19"/>
        <v>0.17500000000000002</v>
      </c>
      <c r="H68" s="215">
        <v>3.5</v>
      </c>
      <c r="I68" t="s">
        <v>153</v>
      </c>
    </row>
    <row r="69" spans="1:15">
      <c r="A69" s="1" t="s">
        <v>132</v>
      </c>
      <c r="B69" s="287">
        <f>B68*2.47</f>
        <v>1.9883500000000003</v>
      </c>
      <c r="C69" s="287">
        <f t="shared" ref="C69:H69" si="20">C68*2.47</f>
        <v>2.7664000000000004</v>
      </c>
      <c r="D69" s="287">
        <f t="shared" si="20"/>
        <v>1.4696500000000003</v>
      </c>
      <c r="E69" s="287">
        <f t="shared" si="20"/>
        <v>0.86450000000000016</v>
      </c>
      <c r="F69" s="287">
        <f t="shared" si="20"/>
        <v>1.1238500000000002</v>
      </c>
      <c r="G69" s="287">
        <f t="shared" si="20"/>
        <v>0.43225000000000008</v>
      </c>
      <c r="H69" s="287">
        <f t="shared" si="20"/>
        <v>8.6450000000000014</v>
      </c>
    </row>
    <row r="70" spans="1:15">
      <c r="A70" s="22" t="s">
        <v>133</v>
      </c>
      <c r="B70" s="287">
        <f>B68*0.907*2.47</f>
        <v>1.8034334500000004</v>
      </c>
      <c r="C70" s="287">
        <f t="shared" ref="C70:H70" si="21">C68*0.907*2.47</f>
        <v>2.5091248000000004</v>
      </c>
      <c r="D70" s="287">
        <f t="shared" si="21"/>
        <v>1.3329725500000003</v>
      </c>
      <c r="E70" s="287">
        <f t="shared" si="21"/>
        <v>0.78410150000000023</v>
      </c>
      <c r="F70" s="287">
        <f t="shared" si="21"/>
        <v>1.0193319500000002</v>
      </c>
      <c r="G70" s="287">
        <f t="shared" si="21"/>
        <v>0.39205075000000011</v>
      </c>
      <c r="H70" s="287">
        <f t="shared" si="21"/>
        <v>7.8410150000000005</v>
      </c>
    </row>
    <row r="71" spans="1:15">
      <c r="A71" s="22" t="s">
        <v>134</v>
      </c>
      <c r="B71" s="288">
        <f>B70*1000</f>
        <v>1803.4334500000004</v>
      </c>
      <c r="C71" s="288">
        <f t="shared" ref="C71:H71" si="22">C70*1000</f>
        <v>2509.1248000000005</v>
      </c>
      <c r="D71" s="288">
        <f t="shared" si="22"/>
        <v>1332.9725500000002</v>
      </c>
      <c r="E71" s="288">
        <f t="shared" si="22"/>
        <v>784.10150000000021</v>
      </c>
      <c r="F71" s="288">
        <f t="shared" si="22"/>
        <v>1019.3319500000002</v>
      </c>
      <c r="G71" s="288">
        <f t="shared" si="22"/>
        <v>392.05075000000011</v>
      </c>
      <c r="H71" s="288">
        <f t="shared" si="22"/>
        <v>7841.0150000000003</v>
      </c>
      <c r="K71" s="296"/>
      <c r="M71" s="296"/>
    </row>
    <row r="72" spans="1:15">
      <c r="A72" s="22" t="s">
        <v>135</v>
      </c>
      <c r="B72" s="289">
        <f>B71/2.47</f>
        <v>730.1350000000001</v>
      </c>
      <c r="C72" s="289">
        <f t="shared" ref="C72:H72" si="23">C71/2.47</f>
        <v>1015.8400000000001</v>
      </c>
      <c r="D72" s="289">
        <f t="shared" si="23"/>
        <v>539.66500000000008</v>
      </c>
      <c r="E72" s="289">
        <f t="shared" si="23"/>
        <v>317.45000000000005</v>
      </c>
      <c r="F72" s="289">
        <f t="shared" si="23"/>
        <v>412.68500000000006</v>
      </c>
      <c r="G72" s="289">
        <f t="shared" si="23"/>
        <v>158.72500000000002</v>
      </c>
      <c r="H72" s="289">
        <f t="shared" si="23"/>
        <v>3174.5</v>
      </c>
      <c r="K72" s="295"/>
      <c r="M72" s="249"/>
    </row>
    <row r="74" spans="1:15">
      <c r="A74" s="285" t="s">
        <v>178</v>
      </c>
      <c r="B74" s="285"/>
      <c r="C74" s="285" t="s">
        <v>32</v>
      </c>
      <c r="D74" s="386" t="s">
        <v>0</v>
      </c>
      <c r="E74" s="386" t="s">
        <v>1</v>
      </c>
      <c r="F74" s="386" t="s">
        <v>2</v>
      </c>
      <c r="G74" s="386" t="s">
        <v>14</v>
      </c>
      <c r="H74" s="386" t="s">
        <v>6</v>
      </c>
      <c r="I74" s="4" t="s">
        <v>7</v>
      </c>
      <c r="J74" s="318"/>
      <c r="K74" s="318"/>
    </row>
    <row r="75" spans="1:15">
      <c r="A75" s="285" t="s">
        <v>179</v>
      </c>
      <c r="B75" s="324" t="s">
        <v>143</v>
      </c>
      <c r="D75" s="342">
        <f>H54/31</f>
        <v>18.842193548387097</v>
      </c>
      <c r="E75" s="342">
        <f>I54/30</f>
        <v>27.089066666666671</v>
      </c>
      <c r="F75" s="342">
        <f>J54/31</f>
        <v>13.926838709677423</v>
      </c>
      <c r="G75" s="342">
        <f>K54/31</f>
        <v>8.19225806451613</v>
      </c>
      <c r="H75" s="342">
        <f>L54/30</f>
        <v>11.004933333333335</v>
      </c>
      <c r="I75" s="343">
        <f>M54/31</f>
        <v>4.096129032258065</v>
      </c>
      <c r="J75" s="319"/>
      <c r="K75" s="319"/>
    </row>
    <row r="76" spans="1:15">
      <c r="A76" s="285" t="s">
        <v>175</v>
      </c>
      <c r="B76" s="324" t="s">
        <v>143</v>
      </c>
      <c r="D76" s="342">
        <f t="shared" ref="D76:I76" si="24">D75</f>
        <v>18.842193548387097</v>
      </c>
      <c r="E76" s="342">
        <f t="shared" si="24"/>
        <v>27.089066666666671</v>
      </c>
      <c r="F76" s="342">
        <f t="shared" si="24"/>
        <v>13.926838709677423</v>
      </c>
      <c r="G76" s="342">
        <f t="shared" si="24"/>
        <v>8.19225806451613</v>
      </c>
      <c r="H76" s="342">
        <f t="shared" si="24"/>
        <v>11.004933333333335</v>
      </c>
      <c r="I76" s="342">
        <f t="shared" si="24"/>
        <v>4.096129032258065</v>
      </c>
      <c r="J76" s="318"/>
      <c r="K76" s="318"/>
    </row>
    <row r="77" spans="1:15">
      <c r="A77" s="285" t="s">
        <v>176</v>
      </c>
      <c r="B77" s="324" t="s">
        <v>143</v>
      </c>
      <c r="C77" s="342">
        <f>AVERAGE(D76:I76)</f>
        <v>13.85856989247312</v>
      </c>
      <c r="E77" s="344"/>
      <c r="F77" s="344"/>
      <c r="G77" s="344"/>
      <c r="H77" s="344"/>
      <c r="I77" s="345"/>
      <c r="J77" s="318"/>
      <c r="K77" s="318"/>
      <c r="L77" s="164"/>
      <c r="M77" s="164"/>
      <c r="N77" s="164"/>
      <c r="O77" s="164"/>
    </row>
    <row r="78" spans="1:15">
      <c r="A78" s="285"/>
      <c r="B78" s="323" t="s">
        <v>177</v>
      </c>
      <c r="C78" s="332">
        <f>2.47*C77</f>
        <v>34.230667634408611</v>
      </c>
      <c r="E78" s="285"/>
      <c r="F78" s="285"/>
      <c r="G78" s="285"/>
      <c r="H78" s="285"/>
      <c r="I78" s="285"/>
      <c r="J78" s="164"/>
      <c r="K78" s="164"/>
      <c r="L78" s="164"/>
      <c r="M78" s="164"/>
      <c r="N78" s="164"/>
      <c r="O78" s="164"/>
    </row>
    <row r="81" spans="1:15">
      <c r="A81" s="468" t="s">
        <v>240</v>
      </c>
      <c r="B81" s="22" t="s">
        <v>241</v>
      </c>
      <c r="C81" s="323" t="s">
        <v>264</v>
      </c>
      <c r="D81" s="323" t="s">
        <v>263</v>
      </c>
      <c r="E81" s="323" t="s">
        <v>254</v>
      </c>
      <c r="F81" s="323" t="s">
        <v>174</v>
      </c>
      <c r="G81" s="463"/>
      <c r="H81" s="463"/>
      <c r="I81" s="463"/>
      <c r="J81" s="463"/>
      <c r="K81" s="463"/>
      <c r="L81" s="463"/>
      <c r="M81" s="463"/>
      <c r="N81" s="463"/>
      <c r="O81" s="463"/>
    </row>
    <row r="82" spans="1:15">
      <c r="A82" s="465" t="str">
        <f>A46</f>
        <v>Corn grain, rolled</v>
      </c>
      <c r="B82" s="466">
        <f>SUM(D46:O46)</f>
        <v>286340508.73074257</v>
      </c>
      <c r="C82" s="360">
        <v>190</v>
      </c>
      <c r="D82" s="360">
        <v>0.84499999999999997</v>
      </c>
      <c r="E82" s="360">
        <f>C82*D82</f>
        <v>160.54999999999998</v>
      </c>
      <c r="F82" s="467">
        <f>(B82*2.205)/(56*E82)</f>
        <v>70225.210409672931</v>
      </c>
      <c r="G82" s="462">
        <f>161*0.31</f>
        <v>49.91</v>
      </c>
      <c r="H82" s="462"/>
      <c r="I82" s="462"/>
      <c r="J82" s="462"/>
      <c r="K82" s="462"/>
      <c r="L82" s="462"/>
      <c r="M82" s="462"/>
      <c r="N82" s="462"/>
      <c r="O82" s="462"/>
    </row>
    <row r="83" spans="1:15" ht="15" thickBot="1">
      <c r="A83" s="1" t="str">
        <f>A41</f>
        <v>Corn silage</v>
      </c>
      <c r="B83" s="284">
        <f>SUM(D41:O41)</f>
        <v>203363885.48318416</v>
      </c>
      <c r="C83" s="1">
        <v>24</v>
      </c>
      <c r="D83" s="1">
        <v>0.34</v>
      </c>
      <c r="E83" s="360">
        <f>C83*D83</f>
        <v>8.16</v>
      </c>
      <c r="F83" s="464">
        <f>(B83*2.205)/(2000*E83)</f>
        <v>27476.554380540507</v>
      </c>
      <c r="H83" t="s">
        <v>242</v>
      </c>
      <c r="I83" t="s">
        <v>243</v>
      </c>
      <c r="J83" t="s">
        <v>246</v>
      </c>
      <c r="K83" t="s">
        <v>247</v>
      </c>
      <c r="L83" t="s">
        <v>248</v>
      </c>
      <c r="M83" t="s">
        <v>252</v>
      </c>
    </row>
    <row r="84" spans="1:15">
      <c r="A84" s="1" t="str">
        <f>A47</f>
        <v>Distillers grains</v>
      </c>
      <c r="B84" s="284">
        <f>SUM(D47:O47)</f>
        <v>130154776.69579205</v>
      </c>
      <c r="C84" s="1">
        <f>C82</f>
        <v>190</v>
      </c>
      <c r="D84" s="1">
        <f>D82</f>
        <v>0.84499999999999997</v>
      </c>
      <c r="E84" s="360">
        <f>C84*D84</f>
        <v>160.54999999999998</v>
      </c>
      <c r="F84" s="464">
        <f>((B84*2.205)/(56*G82))</f>
        <v>102681.71373265501</v>
      </c>
      <c r="G84">
        <f>M85</f>
        <v>0.16569870208575327</v>
      </c>
      <c r="H84">
        <v>2.8</v>
      </c>
      <c r="I84">
        <v>17</v>
      </c>
      <c r="J84" s="485">
        <v>2.95</v>
      </c>
      <c r="K84" s="486">
        <v>193</v>
      </c>
    </row>
    <row r="85" spans="1:15">
      <c r="A85" s="375" t="str">
        <f>A48</f>
        <v>Hay</v>
      </c>
      <c r="B85" s="371">
        <f>SUM(D48:O48)</f>
        <v>93711439.220970273</v>
      </c>
      <c r="C85" s="551"/>
      <c r="D85" s="255">
        <f>H72</f>
        <v>3174.5</v>
      </c>
      <c r="E85" s="255">
        <f>H72</f>
        <v>3174.5</v>
      </c>
      <c r="F85" s="489">
        <f>B85/D85</f>
        <v>29520.062756645228</v>
      </c>
      <c r="H85" t="s">
        <v>244</v>
      </c>
      <c r="I85" t="s">
        <v>245</v>
      </c>
      <c r="J85" s="487">
        <f>H84*J84</f>
        <v>8.26</v>
      </c>
      <c r="K85" s="488">
        <f>I84/2000*K84</f>
        <v>1.6405000000000001</v>
      </c>
      <c r="L85">
        <f>J85+K85</f>
        <v>9.9004999999999992</v>
      </c>
      <c r="M85" s="553">
        <f>K85/L85</f>
        <v>0.16569870208575327</v>
      </c>
    </row>
    <row r="86" spans="1:15" ht="30.75" customHeight="1" thickBot="1">
      <c r="A86" s="547" t="str">
        <f>A49</f>
        <v>Supplement</v>
      </c>
      <c r="B86" s="548">
        <f>SUM(D42:O42,D49:O49)*0.25</f>
        <v>8252092.3528931793</v>
      </c>
      <c r="C86" s="547"/>
      <c r="D86" s="547">
        <v>132</v>
      </c>
      <c r="E86" s="547">
        <v>132</v>
      </c>
      <c r="F86" s="549">
        <f>(B86*2.205)/(56*D86)</f>
        <v>2461.5616393573405</v>
      </c>
      <c r="G86" s="547" t="s">
        <v>255</v>
      </c>
      <c r="J86" s="552" t="s">
        <v>253</v>
      </c>
      <c r="K86" s="550"/>
    </row>
    <row r="87" spans="1:15">
      <c r="A87" s="547" t="str">
        <f>A49</f>
        <v>Supplement</v>
      </c>
      <c r="B87" s="548">
        <f>SUM(D42:O42,D49:O49)*0.25</f>
        <v>8252092.3528931793</v>
      </c>
      <c r="C87" s="547"/>
      <c r="D87" s="547">
        <v>132</v>
      </c>
      <c r="E87" s="547">
        <v>132</v>
      </c>
      <c r="F87" s="549">
        <f>((B87*2.205)/(56*D87))*G$84</f>
        <v>407.87756874559039</v>
      </c>
      <c r="G87" s="547" t="s">
        <v>256</v>
      </c>
    </row>
    <row r="88" spans="1:15">
      <c r="A88" s="360" t="str">
        <f>A50</f>
        <v>Other</v>
      </c>
      <c r="B88" s="360"/>
      <c r="C88" s="360"/>
      <c r="D88" s="360"/>
      <c r="E88" s="360"/>
      <c r="F88" s="360"/>
      <c r="L88" s="553">
        <f>K84/2000</f>
        <v>9.6500000000000002E-2</v>
      </c>
    </row>
    <row r="89" spans="1:15">
      <c r="A89" s="1" t="s">
        <v>249</v>
      </c>
      <c r="B89" s="1"/>
      <c r="C89" s="1"/>
      <c r="D89" s="1"/>
      <c r="E89" s="1"/>
      <c r="F89" s="188">
        <f>F82+F83+F84</f>
        <v>200383.47852286845</v>
      </c>
    </row>
    <row r="90" spans="1:15">
      <c r="A90" s="1" t="s">
        <v>250</v>
      </c>
      <c r="B90" s="1"/>
      <c r="C90" s="1"/>
      <c r="D90" s="1"/>
      <c r="E90" s="1"/>
      <c r="F90" s="464">
        <f>(F85)-ABS(D62)</f>
        <v>-114074.00558539576</v>
      </c>
      <c r="H90">
        <f>190*D82*56</f>
        <v>8990.7999999999993</v>
      </c>
    </row>
    <row r="91" spans="1:15">
      <c r="A91" t="s">
        <v>32</v>
      </c>
      <c r="F91" s="249">
        <f>SUM(F89:F90)</f>
        <v>86309.472937472688</v>
      </c>
    </row>
    <row r="92" spans="1:15">
      <c r="C92" t="s">
        <v>265</v>
      </c>
    </row>
    <row r="93" spans="1:15">
      <c r="C93" t="s">
        <v>266</v>
      </c>
    </row>
    <row r="94" spans="1:15">
      <c r="A94" t="s">
        <v>32</v>
      </c>
      <c r="B94" s="249">
        <f>SUM(F91,D63)</f>
        <v>679059.76949314261</v>
      </c>
    </row>
    <row r="95" spans="1:15">
      <c r="A95" t="s">
        <v>267</v>
      </c>
      <c r="B95" s="560">
        <f>SUM(F90,D63)</f>
        <v>478676.29097027425</v>
      </c>
    </row>
    <row r="96" spans="1:15">
      <c r="A96" t="s">
        <v>268</v>
      </c>
      <c r="B96" s="249">
        <f>F89</f>
        <v>200383.47852286845</v>
      </c>
    </row>
    <row r="98" spans="1:14">
      <c r="D98">
        <f>SUM(D99:I99)</f>
        <v>181</v>
      </c>
      <c r="E98">
        <f>SUM(E99:I99)</f>
        <v>153</v>
      </c>
    </row>
    <row r="99" spans="1:14">
      <c r="B99" t="s">
        <v>472</v>
      </c>
      <c r="C99">
        <v>31</v>
      </c>
      <c r="D99">
        <v>28</v>
      </c>
      <c r="E99">
        <v>31</v>
      </c>
      <c r="F99">
        <v>30</v>
      </c>
      <c r="G99">
        <v>31</v>
      </c>
      <c r="H99">
        <v>30</v>
      </c>
      <c r="I99">
        <v>31</v>
      </c>
      <c r="J99">
        <v>31</v>
      </c>
      <c r="K99">
        <v>30</v>
      </c>
      <c r="L99">
        <v>31</v>
      </c>
      <c r="M99">
        <v>30</v>
      </c>
      <c r="N99">
        <v>31</v>
      </c>
    </row>
    <row r="101" spans="1:14" ht="15" thickBot="1">
      <c r="A101" t="s">
        <v>173</v>
      </c>
      <c r="G101" t="s">
        <v>94</v>
      </c>
      <c r="H101" t="s">
        <v>93</v>
      </c>
      <c r="J101" t="s">
        <v>97</v>
      </c>
      <c r="K101" t="s">
        <v>96</v>
      </c>
    </row>
    <row r="102" spans="1:14">
      <c r="A102" s="629" t="s">
        <v>229</v>
      </c>
    </row>
    <row r="103" spans="1:14">
      <c r="A103" s="630" t="s">
        <v>230</v>
      </c>
      <c r="G103">
        <f>($D$14+$D$13)*$C$99*$B$29</f>
        <v>44312038.507643573</v>
      </c>
      <c r="H103">
        <f>((($N$15+$N$16)*$L$99)+(($O$21+$O$22)*$M$99))*$B29</f>
        <v>53526248.660547987</v>
      </c>
      <c r="J103">
        <f>((($D$19+$D$20)*$C$99)+(($E$19+$E$20)*$D$99))*$B29</f>
        <v>51997250.929971009</v>
      </c>
      <c r="K103">
        <f>((($N$21+$N$22)*$L$99)+(($O$21+$O$22)*$M$99))*B29</f>
        <v>29192325.843622372</v>
      </c>
    </row>
    <row r="104" spans="1:14">
      <c r="A104" s="630" t="s">
        <v>231</v>
      </c>
      <c r="G104">
        <f>($D$14+$D$13)*$C$99*$B$30</f>
        <v>4923559.8341826191</v>
      </c>
      <c r="H104">
        <f t="shared" ref="H104:H106" si="25">((($N$15+$N$16)*$L$99)+(($O$21+$O$22)*$M$99))*$B30</f>
        <v>5947360.9622831093</v>
      </c>
      <c r="J104">
        <f t="shared" ref="J104:J106" si="26">((($D$19+$D$20)*$C$99)+(($E$19+$E$20)*$D$99))*$B30</f>
        <v>5777472.3255523341</v>
      </c>
      <c r="K104">
        <f t="shared" ref="K104:K106" si="27">((($N$21+$N$22)*$L$99)+(($O$21+$O$22)*$M$99))*B30</f>
        <v>3243591.7604024857</v>
      </c>
    </row>
    <row r="105" spans="1:14">
      <c r="A105" s="630" t="s">
        <v>237</v>
      </c>
      <c r="G105">
        <f>($D$14+$D$13)*$C$99*$B$31</f>
        <v>0</v>
      </c>
      <c r="H105">
        <f t="shared" si="25"/>
        <v>0</v>
      </c>
      <c r="J105">
        <f t="shared" si="26"/>
        <v>0</v>
      </c>
      <c r="K105">
        <f t="shared" si="27"/>
        <v>0</v>
      </c>
    </row>
    <row r="106" spans="1:14" ht="15" thickBot="1">
      <c r="A106" s="631" t="s">
        <v>32</v>
      </c>
      <c r="G106">
        <f>G103+G104+G105</f>
        <v>49235598.341826193</v>
      </c>
      <c r="H106">
        <f t="shared" si="25"/>
        <v>59473609.622831091</v>
      </c>
      <c r="J106">
        <f t="shared" si="26"/>
        <v>57774723.255523339</v>
      </c>
      <c r="K106">
        <f t="shared" si="27"/>
        <v>32435917.604024857</v>
      </c>
    </row>
    <row r="107" spans="1:14">
      <c r="A107" s="632" t="s">
        <v>232</v>
      </c>
    </row>
    <row r="108" spans="1:14">
      <c r="A108" s="633" t="s">
        <v>233</v>
      </c>
      <c r="G108">
        <f>((($E$13+$E$14)*$D$99)+(($F$13+$F$14)*$E$99)+(($G$13+$G$14)*$F$99)+(($H$13+$H$14)*$G$99)+(($I$13+$I$14)*$H$99)+(($J$13+$J$14)*$I$99))*'Conv Forage'!$B34</f>
        <v>194534965.33743957</v>
      </c>
      <c r="J108">
        <f>((($F$19+$F$20)*$E$99)+(($G$19+$G$20)*$F$99)+(($H$19+$H$20)*$G$99)+(($I$19+$I$20)*$H$99)+(($J$19+$J$20)*$I$99))*'Conv Forage'!$B34</f>
        <v>91412819.478724286</v>
      </c>
    </row>
    <row r="109" spans="1:14">
      <c r="A109" s="633" t="s">
        <v>234</v>
      </c>
      <c r="G109">
        <f>((($E$13+$E$14)*$D$99)+(($F$13+$F$14)*$E$99)+(($G$13+$G$14)*$F$99)+(($H$13+$H$14)*$G$99)+(($I$13+$I$14)*$H$99)+(($J$13+$J$14)*$I$99))*'Conv Forage'!$B35</f>
        <v>88424984.244290709</v>
      </c>
      <c r="J109">
        <f>((($F$19+$F$20)*$E$99)+(($G$19+$G$20)*$F$99)+(($H$19+$H$20)*$G$99)+(($I$19+$I$20)*$H$99)+(($J$19+$J$20)*$I$99))*'Conv Forage'!$B35</f>
        <v>41551281.581238307</v>
      </c>
    </row>
    <row r="110" spans="1:14">
      <c r="A110" s="633" t="s">
        <v>235</v>
      </c>
      <c r="G110">
        <f>((($E$13+$E$14)*$D$99)+(($F$13+$F$14)*$E$99)+(($G$13+$G$14)*$F$99)+(($H$13+$H$14)*$G$99)+(($I$13+$I$14)*$H$99)+(($J$13+$J$14)*$I$99))*'Conv Forage'!$B36</f>
        <v>63665988.65588931</v>
      </c>
      <c r="J110">
        <f>((($F$19+$F$20)*$E$99)+(($G$19+$G$20)*$F$99)+(($H$19+$H$20)*$G$99)+(($I$19+$I$20)*$H$99)+(($J$19+$J$20)*$I$99))*'Conv Forage'!$B36</f>
        <v>29916922.73849158</v>
      </c>
    </row>
    <row r="111" spans="1:14">
      <c r="A111" s="633" t="s">
        <v>231</v>
      </c>
      <c r="G111">
        <f>((($E$13+$E$14)*$D$99)+(($F$13+$F$14)*$E$99)+(($G$13+$G$14)*$F$99)+(($H$13+$H$14)*$G$99)+(($I$13+$I$14)*$H$99)+(($J$13+$J$14)*$I$99))*'Conv Forage'!$B37</f>
        <v>7073998.7395432573</v>
      </c>
      <c r="J111">
        <f>((($F$19+$F$20)*$E$99)+(($G$19+$G$20)*$F$99)+(($H$19+$H$20)*$G$99)+(($I$19+$I$20)*$H$99)+(($J$19+$J$20)*$I$99))*'Conv Forage'!$B37</f>
        <v>3324102.5264990646</v>
      </c>
    </row>
    <row r="112" spans="1:14">
      <c r="A112" s="633" t="s">
        <v>237</v>
      </c>
      <c r="G112">
        <f>((($E$13+$E$14)*$D$99)+(($F$13+$F$14)*$E$99)+(($G$13+$G$14)*$F$99)+(($H$13+$H$14)*$G$99)+(($I$13+$I$14)*$H$99)+(($J$13+$J$14)*$I$99))*'Conv Forage'!$B38</f>
        <v>0</v>
      </c>
      <c r="J112">
        <f>((($F$19+$F$20)*$E$99)+(($G$19+$G$20)*$F$99)+(($H$19+$H$20)*$G$99)+(($I$19+$I$20)*$H$99)+(($J$19+$J$20)*$I$99))*'Conv Forage'!$B38</f>
        <v>0</v>
      </c>
    </row>
    <row r="113" spans="1:10" ht="15" thickBot="1">
      <c r="A113" s="634" t="s">
        <v>32</v>
      </c>
      <c r="G113">
        <f>((($E$13+$E$14)*$D$99)+(($F$13+$F$14)*$E$99)+(($G$13+$G$14)*$F$99)+(($H$13+$H$14)*$G$99)+(($I$13+$I$14)*$H$99)+(($J$13+$J$14)*$I$99))*'Conv Forage'!$B39</f>
        <v>353699936.97716284</v>
      </c>
      <c r="J113">
        <f>((($F$19+$F$20)*$E$99)+(($G$19+$G$20)*$F$99)+(($H$19+$H$20)*$G$99)+(($I$19+$I$20)*$H$99)+(($J$19+$J$20)*$I$99))*'Conv Forage'!$B39</f>
        <v>166205126.32495323</v>
      </c>
    </row>
  </sheetData>
  <sheetProtection password="A4FF" sheet="1" objects="1" scenarios="1"/>
  <mergeCells count="15">
    <mergeCell ref="A23:A24"/>
    <mergeCell ref="A52:O52"/>
    <mergeCell ref="A27:O27"/>
    <mergeCell ref="A11:A12"/>
    <mergeCell ref="A13:A14"/>
    <mergeCell ref="A15:A16"/>
    <mergeCell ref="A17:A18"/>
    <mergeCell ref="A19:A20"/>
    <mergeCell ref="A21:A22"/>
    <mergeCell ref="A9:A10"/>
    <mergeCell ref="A2:C2"/>
    <mergeCell ref="D3:G3"/>
    <mergeCell ref="H3:M3"/>
    <mergeCell ref="N3:O3"/>
    <mergeCell ref="A7:A8"/>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theme="6" tint="-0.249977111117893"/>
    <pageSetUpPr fitToPage="1"/>
  </sheetPr>
  <dimension ref="A1:AI60"/>
  <sheetViews>
    <sheetView topLeftCell="A4" workbookViewId="0">
      <pane xSplit="1" topLeftCell="R1" activePane="topRight" state="frozen"/>
      <selection activeCell="B34" sqref="B34"/>
      <selection pane="topRight" activeCell="W24" sqref="W24"/>
    </sheetView>
  </sheetViews>
  <sheetFormatPr baseColWidth="10" defaultColWidth="8.83203125" defaultRowHeight="14" x14ac:dyDescent="0"/>
  <cols>
    <col min="1" max="1" width="42.5" customWidth="1"/>
    <col min="2" max="2" width="11.1640625" bestFit="1" customWidth="1"/>
    <col min="3" max="3" width="10.1640625" bestFit="1" customWidth="1"/>
    <col min="4" max="4" width="11.5" customWidth="1"/>
    <col min="5" max="5" width="12.6640625" customWidth="1"/>
    <col min="6" max="6" width="16.6640625" customWidth="1"/>
    <col min="7" max="7" width="15.1640625" customWidth="1"/>
    <col min="8" max="8" width="15.5" customWidth="1"/>
    <col min="9" max="9" width="16.6640625" customWidth="1"/>
    <col min="10" max="10" width="17.83203125" customWidth="1"/>
    <col min="11" max="11" width="18" customWidth="1"/>
    <col min="12" max="12" width="18.1640625" customWidth="1"/>
    <col min="13" max="14" width="16.83203125" customWidth="1"/>
    <col min="15" max="15" width="16.6640625" customWidth="1"/>
    <col min="16" max="16" width="16.33203125" customWidth="1"/>
    <col min="17" max="17" width="20.5" customWidth="1"/>
    <col min="18" max="18" width="14.1640625" customWidth="1"/>
    <col min="19" max="19" width="15.5" customWidth="1"/>
    <col min="20" max="20" width="24.1640625" customWidth="1"/>
    <col min="24" max="24" width="12.33203125" customWidth="1"/>
    <col min="26" max="26" width="12" customWidth="1"/>
    <col min="32" max="32" width="18.83203125" customWidth="1"/>
  </cols>
  <sheetData>
    <row r="1" spans="1:33" ht="19" thickBot="1">
      <c r="A1" s="1035" t="s">
        <v>815</v>
      </c>
      <c r="B1" s="916" t="s">
        <v>85</v>
      </c>
      <c r="C1" s="642" t="s">
        <v>86</v>
      </c>
      <c r="D1" s="642" t="s">
        <v>87</v>
      </c>
      <c r="E1" s="642" t="s">
        <v>84</v>
      </c>
      <c r="F1" s="642" t="s">
        <v>495</v>
      </c>
      <c r="G1" s="642" t="s">
        <v>94</v>
      </c>
      <c r="H1" s="642" t="s">
        <v>93</v>
      </c>
      <c r="I1" s="642" t="s">
        <v>499</v>
      </c>
      <c r="J1" s="642" t="s">
        <v>500</v>
      </c>
      <c r="K1" s="642" t="s">
        <v>501</v>
      </c>
      <c r="L1" s="642" t="s">
        <v>502</v>
      </c>
      <c r="M1" s="642" t="s">
        <v>503</v>
      </c>
      <c r="N1" s="642" t="s">
        <v>504</v>
      </c>
      <c r="O1" s="642" t="s">
        <v>97</v>
      </c>
      <c r="P1" s="642" t="s">
        <v>96</v>
      </c>
      <c r="Q1" s="916" t="s">
        <v>5</v>
      </c>
    </row>
    <row r="2" spans="1:33" ht="15" thickBot="1">
      <c r="A2" s="570"/>
    </row>
    <row r="3" spans="1:33">
      <c r="A3" s="164" t="s">
        <v>374</v>
      </c>
      <c r="B3" s="561">
        <f>B4*0.45359237</f>
        <v>566.99046250000004</v>
      </c>
      <c r="C3" s="561">
        <f t="shared" ref="C3:Q3" si="0">C4*0.45359237</f>
        <v>816.46626600000002</v>
      </c>
      <c r="D3" s="561">
        <f t="shared" si="0"/>
        <v>226.79618500000001</v>
      </c>
      <c r="E3" s="561">
        <f t="shared" si="0"/>
        <v>226.79618500000001</v>
      </c>
      <c r="F3" s="561">
        <f t="shared" si="0"/>
        <v>226.79618500000001</v>
      </c>
      <c r="G3" s="561">
        <f t="shared" si="0"/>
        <v>587.40211914999998</v>
      </c>
      <c r="H3" s="561">
        <f t="shared" si="0"/>
        <v>293.47426339000003</v>
      </c>
      <c r="I3" s="561">
        <f t="shared" si="0"/>
        <v>566.53687013000001</v>
      </c>
      <c r="J3" s="561">
        <f t="shared" si="0"/>
        <v>485.79742827000001</v>
      </c>
      <c r="K3" s="561">
        <f t="shared" si="0"/>
        <v>272.15542199999999</v>
      </c>
      <c r="L3" s="561">
        <f t="shared" si="0"/>
        <v>499.40519937000005</v>
      </c>
      <c r="M3" s="561">
        <f t="shared" si="0"/>
        <v>432.72712098</v>
      </c>
      <c r="N3" s="561">
        <f t="shared" si="0"/>
        <v>249.47580350000001</v>
      </c>
      <c r="O3" s="561">
        <f t="shared" si="0"/>
        <v>522.08481787000005</v>
      </c>
      <c r="P3" s="561">
        <f t="shared" si="0"/>
        <v>264.44435171000003</v>
      </c>
      <c r="Q3" s="561">
        <f t="shared" si="0"/>
        <v>249.02221113000002</v>
      </c>
      <c r="U3" s="718" t="s">
        <v>650</v>
      </c>
      <c r="V3" s="719"/>
      <c r="W3" s="719"/>
      <c r="X3" s="719"/>
      <c r="Y3" s="719"/>
      <c r="Z3" s="719"/>
      <c r="AA3" s="719"/>
      <c r="AB3" s="719"/>
      <c r="AC3" s="719"/>
      <c r="AD3" s="719"/>
      <c r="AE3" s="719"/>
      <c r="AF3" s="719"/>
      <c r="AG3" s="699"/>
    </row>
    <row r="4" spans="1:33">
      <c r="A4" s="164" t="s">
        <v>291</v>
      </c>
      <c r="B4">
        <v>1250</v>
      </c>
      <c r="C4">
        <v>1800</v>
      </c>
      <c r="D4">
        <v>500</v>
      </c>
      <c r="E4">
        <v>500</v>
      </c>
      <c r="F4">
        <v>500</v>
      </c>
      <c r="G4">
        <v>1295</v>
      </c>
      <c r="H4">
        <v>647</v>
      </c>
      <c r="I4">
        <v>1249</v>
      </c>
      <c r="J4">
        <v>1071</v>
      </c>
      <c r="K4">
        <v>600</v>
      </c>
      <c r="L4">
        <v>1101</v>
      </c>
      <c r="M4">
        <v>954</v>
      </c>
      <c r="N4">
        <v>550</v>
      </c>
      <c r="O4">
        <v>1151</v>
      </c>
      <c r="P4">
        <v>583</v>
      </c>
      <c r="Q4">
        <v>549</v>
      </c>
      <c r="U4" s="721"/>
      <c r="V4" s="698"/>
      <c r="W4" s="698"/>
      <c r="X4" s="698"/>
      <c r="Y4" s="698"/>
      <c r="Z4" s="698"/>
      <c r="AA4" s="698"/>
      <c r="AB4" s="698"/>
      <c r="AC4" s="698"/>
      <c r="AD4" s="698"/>
      <c r="AE4" s="698"/>
      <c r="AF4" s="698"/>
      <c r="AG4" s="700"/>
    </row>
    <row r="5" spans="1:33">
      <c r="A5" s="164" t="s">
        <v>300</v>
      </c>
      <c r="U5" s="1288" t="s">
        <v>960</v>
      </c>
      <c r="V5" s="1317"/>
      <c r="W5" s="1317"/>
      <c r="X5" s="1317"/>
      <c r="Y5" s="1317"/>
      <c r="Z5" s="1317"/>
      <c r="AA5" s="1317"/>
      <c r="AB5" s="1317"/>
      <c r="AC5" s="1317"/>
      <c r="AD5" s="1317"/>
      <c r="AE5" s="1317"/>
      <c r="AF5" s="1317"/>
      <c r="AG5" s="1290"/>
    </row>
    <row r="6" spans="1:33">
      <c r="A6" s="635" t="s">
        <v>284</v>
      </c>
      <c r="B6" s="564">
        <f>(($B$33)+($B$34))/365</f>
        <v>8.9532840145040904</v>
      </c>
      <c r="C6" s="564">
        <f>(($C$33)+($C$34))/365</f>
        <v>8.6053997298078038</v>
      </c>
      <c r="D6" s="564">
        <f>(($D$33)+($D$34)+(D32*Feed_Composition!D25))/214</f>
        <v>3.3999769989738491</v>
      </c>
      <c r="E6" s="564">
        <f>(($E$33)+($E$34)+(E32*Feed_Composition!D25))/214</f>
        <v>3.4366057801742169</v>
      </c>
      <c r="F6" s="564">
        <f>(($F$33)+($F$34)+($F$35))/214</f>
        <v>2.9833975597215123</v>
      </c>
      <c r="G6" s="564">
        <f>(($G$22)+($G$27)+($G$28)+($G$29))/212</f>
        <v>9.9667898599371707</v>
      </c>
      <c r="H6" s="564">
        <f>(($H$22)/61)</f>
        <v>4.7426412453809688</v>
      </c>
      <c r="I6" s="564">
        <f>(($I$33)+($I$34))/151</f>
        <v>12.03034437707143</v>
      </c>
      <c r="J6" s="564">
        <f>(($J$33)+($J$34))/365</f>
        <v>8.5727246476390455</v>
      </c>
      <c r="K6" s="249">
        <f>($K$33/61)</f>
        <v>7.5111123581845982</v>
      </c>
      <c r="L6" s="564">
        <f>(($L$33)+($L$34))/151</f>
        <v>11.067920669533391</v>
      </c>
      <c r="M6" s="564">
        <f>(($M$33)+($M$34))/365</f>
        <v>7.9958792655527384</v>
      </c>
      <c r="N6" s="564">
        <f>($N$33/61)</f>
        <v>7.0957741644358485</v>
      </c>
      <c r="O6" s="564">
        <f>(($O$22)+($O$27)+($O$28)+($O$29))/212</f>
        <v>9.1889233133411867</v>
      </c>
      <c r="P6" s="564">
        <f>(($P$22)/61)</f>
        <v>4.3385723349479992</v>
      </c>
      <c r="Q6" s="249">
        <f>((Q33)+(Q34))/273</f>
        <v>7.0895393598856185</v>
      </c>
      <c r="U6" s="1291"/>
      <c r="V6" s="1317"/>
      <c r="W6" s="1317"/>
      <c r="X6" s="1317"/>
      <c r="Y6" s="1317"/>
      <c r="Z6" s="1317"/>
      <c r="AA6" s="1317"/>
      <c r="AB6" s="1317"/>
      <c r="AC6" s="1317"/>
      <c r="AD6" s="1317"/>
      <c r="AE6" s="1317"/>
      <c r="AF6" s="1317"/>
      <c r="AG6" s="1290"/>
    </row>
    <row r="7" spans="1:33">
      <c r="A7" s="635" t="s">
        <v>289</v>
      </c>
      <c r="B7" s="564">
        <f>B6*2.2046226</f>
        <v>19.738612282594445</v>
      </c>
      <c r="C7" s="564">
        <f t="shared" ref="C7:Q7" si="1">C6*2.2046226</f>
        <v>18.971658726368176</v>
      </c>
      <c r="D7" s="564">
        <f t="shared" si="1"/>
        <v>7.4956661314179245</v>
      </c>
      <c r="E7" s="564">
        <f t="shared" si="1"/>
        <v>7.5764187702627108</v>
      </c>
      <c r="F7" s="564">
        <f t="shared" ref="F7" si="2">F6*2.2046226</f>
        <v>6.5772656849468953</v>
      </c>
      <c r="G7" s="564">
        <f t="shared" si="1"/>
        <v>21.973010174668321</v>
      </c>
      <c r="H7" s="564">
        <f t="shared" si="1"/>
        <v>10.455734073259029</v>
      </c>
      <c r="I7" s="564">
        <f t="shared" si="1"/>
        <v>26.522369099474595</v>
      </c>
      <c r="J7" s="564">
        <f t="shared" si="1"/>
        <v>18.899622501762078</v>
      </c>
      <c r="K7" s="564">
        <f t="shared" si="1"/>
        <v>16.559168055993059</v>
      </c>
      <c r="L7" s="564">
        <f t="shared" si="1"/>
        <v>24.400588043060445</v>
      </c>
      <c r="M7" s="564">
        <f t="shared" si="1"/>
        <v>17.627896135708969</v>
      </c>
      <c r="N7" s="564">
        <f t="shared" si="1"/>
        <v>15.643504087411388</v>
      </c>
      <c r="O7" s="564">
        <f t="shared" si="1"/>
        <v>20.258108006258862</v>
      </c>
      <c r="P7" s="564">
        <f t="shared" si="1"/>
        <v>9.5649146213611296</v>
      </c>
      <c r="Q7" s="249">
        <f t="shared" si="1"/>
        <v>15.629758696393369</v>
      </c>
      <c r="U7" s="1291"/>
      <c r="V7" s="1317"/>
      <c r="W7" s="1317"/>
      <c r="X7" s="1317"/>
      <c r="Y7" s="1317"/>
      <c r="Z7" s="1317"/>
      <c r="AA7" s="1317"/>
      <c r="AB7" s="1317"/>
      <c r="AC7" s="1317"/>
      <c r="AD7" s="1317"/>
      <c r="AE7" s="1317"/>
      <c r="AF7" s="1317"/>
      <c r="AG7" s="1290"/>
    </row>
    <row r="8" spans="1:33" ht="15" customHeight="1">
      <c r="A8" s="635"/>
      <c r="U8" s="1429" t="s">
        <v>1088</v>
      </c>
      <c r="V8" s="1430"/>
      <c r="W8" s="1430"/>
      <c r="X8" s="1430"/>
      <c r="Y8" s="1430"/>
      <c r="Z8" s="1430"/>
      <c r="AA8" s="1430"/>
      <c r="AB8" s="1430"/>
      <c r="AC8" s="1430"/>
      <c r="AD8" s="1430"/>
      <c r="AE8" s="1430"/>
      <c r="AF8" s="1430"/>
      <c r="AG8" s="1431"/>
    </row>
    <row r="9" spans="1:33">
      <c r="A9" s="635" t="s">
        <v>283</v>
      </c>
      <c r="U9" s="1429"/>
      <c r="V9" s="1430"/>
      <c r="W9" s="1430"/>
      <c r="X9" s="1430"/>
      <c r="Y9" s="1430"/>
      <c r="Z9" s="1430"/>
      <c r="AA9" s="1430"/>
      <c r="AB9" s="1430"/>
      <c r="AC9" s="1430"/>
      <c r="AD9" s="1430"/>
      <c r="AE9" s="1430"/>
      <c r="AF9" s="1430"/>
      <c r="AG9" s="1431"/>
    </row>
    <row r="10" spans="1:33">
      <c r="A10" s="635" t="s">
        <v>294</v>
      </c>
      <c r="U10" s="780" t="s">
        <v>961</v>
      </c>
      <c r="V10" s="698"/>
      <c r="W10" s="697"/>
      <c r="X10" s="697"/>
      <c r="Y10" s="697"/>
      <c r="Z10" s="697"/>
      <c r="AA10" s="697"/>
      <c r="AB10" s="697"/>
      <c r="AC10" s="697"/>
      <c r="AD10" s="697"/>
      <c r="AE10" s="697"/>
      <c r="AF10" s="697"/>
      <c r="AG10" s="700"/>
    </row>
    <row r="11" spans="1:33">
      <c r="A11" s="635" t="s">
        <v>967</v>
      </c>
      <c r="U11" s="840"/>
      <c r="V11" s="725" t="s">
        <v>959</v>
      </c>
      <c r="W11" s="698"/>
      <c r="X11" s="698"/>
      <c r="Y11" s="698"/>
      <c r="Z11" s="698"/>
      <c r="AA11" s="698"/>
      <c r="AB11" s="698"/>
      <c r="AC11" s="698"/>
      <c r="AD11" s="698"/>
      <c r="AE11" s="698"/>
      <c r="AF11" s="698"/>
      <c r="AG11" s="700"/>
    </row>
    <row r="12" spans="1:33">
      <c r="A12" s="642" t="s">
        <v>288</v>
      </c>
      <c r="B12" s="564">
        <f>((B$22*Feed_Composition!$E17)+(Beef_Nutrient!B$23*Feed_Composition!$E29)+(Beef_Nutrient!B$27*Feed_Composition!$E9)+(Beef_Nutrient!B$28*Feed_Composition!$E15)+(Beef_Nutrient!B$29*Feed_Composition!$E23)+(Beef_Nutrient!B$32*Feed_Composition!$E25*Feed_Composition!$D25)+(Beef_Nutrient!B$33*Feed_Composition!$E23)+(Beef_Nutrient!B$34*Feed_Composition!$E24)+(Beef_Nutrient!B$35*Feed_Composition!$E2))/365</f>
        <v>3.5472588112321742E-2</v>
      </c>
      <c r="C12" s="564">
        <f>((C$22*Feed_Composition!$E$17)+(Beef_Nutrient!C$23*Feed_Composition!$E$29)+(Beef_Nutrient!C$27*Feed_Composition!$E$9)+(Beef_Nutrient!C$28*Feed_Composition!$E$15)+(Beef_Nutrient!C$29*Feed_Composition!$E$23)+(Beef_Nutrient!C$32*Feed_Composition!$E$25*Feed_Composition!$D$25)+(Beef_Nutrient!C$33*Feed_Composition!$E$23)+(Beef_Nutrient!C$34*Feed_Composition!$E$24)+(Beef_Nutrient!C$35*Feed_Composition!$E$2))/365</f>
        <v>3.3226291704913098E-2</v>
      </c>
      <c r="D12" s="564">
        <f>((D$22*Feed_Composition!$E17)+(Beef_Nutrient!D$23*Feed_Composition!$E29)+(Beef_Nutrient!D$27*Feed_Composition!$E9)+(Beef_Nutrient!D$28*Feed_Composition!$E15)+(Beef_Nutrient!D$29*Feed_Composition!$E23)+(Beef_Nutrient!D$32*Feed_Composition!$E25*Feed_Composition!$D25)+(Beef_Nutrient!D$33*Feed_Composition!$E23)+(Beef_Nutrient!D$34*Feed_Composition!$E24)+(Beef_Nutrient!D$35*Feed_Composition!$E2))/214</f>
        <v>1.7336983630003976E-2</v>
      </c>
      <c r="E12" s="564">
        <f>((E$22*Feed_Composition!$E17)+(Beef_Nutrient!E$23*Feed_Composition!$E29)+(Beef_Nutrient!E$27*Feed_Composition!$E9)+(Beef_Nutrient!E$28*Feed_Composition!$E15)+(Beef_Nutrient!E$29*Feed_Composition!$E23)+(Beef_Nutrient!E$32*Feed_Composition!$E25*Feed_Composition!$D25)+(Beef_Nutrient!E$33*Feed_Composition!$E23)+(Beef_Nutrient!E$34*Feed_Composition!$E24)+(Beef_Nutrient!E$35*Feed_Composition!$E2))/214</f>
        <v>1.7528242029155417E-2</v>
      </c>
      <c r="F12" s="564">
        <f>((F$22*Feed_Composition!$E17)+(Beef_Nutrient!F$23*Feed_Composition!$E29)+(Beef_Nutrient!F$27*Feed_Composition!$E9)+(Beef_Nutrient!F$28*Feed_Composition!$E15)+(Beef_Nutrient!F$29*Feed_Composition!$E23)+(Beef_Nutrient!F$32*Feed_Composition!$E25*Feed_Composition!$D25)+(Beef_Nutrient!F$33*Feed_Composition!$E23)+(Beef_Nutrient!F$34*Feed_Composition!$E24)+(Beef_Nutrient!F$35*Feed_Composition!$E2))/214</f>
        <v>1.4420927555237618E-2</v>
      </c>
      <c r="G12" s="564">
        <f>((G$22*Feed_Composition!$E17)+(Beef_Nutrient!G$23*Feed_Composition!$E29)+(Beef_Nutrient!G$27*Feed_Composition!$E9)+(Beef_Nutrient!G$28*Feed_Composition!$E15)+(Beef_Nutrient!G$29*Feed_Composition!$E23)+(Beef_Nutrient!G$32*Feed_Composition!$E25*Feed_Composition!$D25)+(Beef_Nutrient!G$33*Feed_Composition!$E23)+(Beef_Nutrient!G$34*Feed_Composition!$E24)+(Beef_Nutrient!G$35*Feed_Composition!$E2))/212</f>
        <v>4.1396568233990579E-2</v>
      </c>
      <c r="H12" s="564">
        <f>((H$22*Feed_Composition!$E17)+(Beef_Nutrient!H$23*Feed_Composition!$E29)+(Beef_Nutrient!H$27*Feed_Composition!$E9)+(Beef_Nutrient!H$28*Feed_Composition!$E15)+(Beef_Nutrient!H$29*Feed_Composition!$E23)+(Beef_Nutrient!H$32*Feed_Composition!$E25*Feed_Composition!$D25)+(Beef_Nutrient!H$33*Feed_Composition!$E23)+(Beef_Nutrient!H$34*Feed_Composition!$E24)+(Beef_Nutrient!H$35*Feed_Composition!$E2))/61</f>
        <v>1.2330867237990518E-2</v>
      </c>
      <c r="I12" s="564">
        <f>((I$22*Feed_Composition!$E17)+(Beef_Nutrient!I$23*Feed_Composition!$E29)+(Beef_Nutrient!I$27*Feed_Composition!$E9)+(Beef_Nutrient!I$28*Feed_Composition!$E15)+(Beef_Nutrient!I$29*Feed_Composition!$E23)+(Beef_Nutrient!I$32*Feed_Composition!$E25*Feed_Composition!$D25)+(Beef_Nutrient!I$33*Feed_Composition!$E23)+(Beef_Nutrient!I$34*Feed_Composition!$E24)+(Beef_Nutrient!I$35*Feed_Composition!$E2))/151</f>
        <v>4.0124877855932994E-2</v>
      </c>
      <c r="J12" s="564">
        <f>((J$22*Feed_Composition!$E17)+(Beef_Nutrient!J$23*Feed_Composition!$E29)+(Beef_Nutrient!J$27*Feed_Composition!$E9)+(Beef_Nutrient!J$28*Feed_Composition!$E15)+(Beef_Nutrient!J$29*Feed_Composition!$E23)+(Beef_Nutrient!J$32*Feed_Composition!$E25*Feed_Composition!$D25)+(Beef_Nutrient!J$33*Feed_Composition!$E23)+(Beef_Nutrient!J$34*Feed_Composition!$E24)+(Beef_Nutrient!J$35*Feed_Composition!$E2))/365</f>
        <v>3.3376529789854684E-2</v>
      </c>
      <c r="K12" s="564">
        <f>((K$22*Feed_Composition!$E17)+(Beef_Nutrient!K$23*Feed_Composition!$E29)+(Beef_Nutrient!K$27*Feed_Composition!$E9)+(Beef_Nutrient!K$28*Feed_Composition!$E15)+(Beef_Nutrient!K$29*Feed_Composition!$E23)+(Beef_Nutrient!K$32*Feed_Composition!$E25*Feed_Composition!$D25)+(Beef_Nutrient!K$33*Feed_Composition!$E23)+(Beef_Nutrient!K$34*Feed_Composition!$E24)+(Beef_Nutrient!K$35*Feed_Composition!$E2))/61</f>
        <v>2.2533337074553794E-2</v>
      </c>
      <c r="L12" s="564">
        <f>((L$22*Feed_Composition!$E17)+(Beef_Nutrient!L$23*Feed_Composition!$E29)+(Beef_Nutrient!L$27*Feed_Composition!$E9)+(Beef_Nutrient!L$28*Feed_Composition!$E15)+(Beef_Nutrient!L$29*Feed_Composition!$E23)+(Beef_Nutrient!L$32*Feed_Composition!$E25*Feed_Composition!$D25)+(Beef_Nutrient!L$33*Feed_Composition!$E23)+(Beef_Nutrient!L$34*Feed_Composition!$E24)+(Beef_Nutrient!L$35*Feed_Composition!$E2))/151</f>
        <v>3.6936467829967727E-2</v>
      </c>
      <c r="M12" s="564">
        <f>((M$22*Feed_Composition!$E17)+(Beef_Nutrient!M$23*Feed_Composition!$E29)+(Beef_Nutrient!M$27*Feed_Composition!$E9)+(Beef_Nutrient!M$28*Feed_Composition!$E15)+(Beef_Nutrient!M$29*Feed_Composition!$E23)+(Beef_Nutrient!M$32*Feed_Composition!$E25*Feed_Composition!$D25)+(Beef_Nutrient!M$33*Feed_Composition!$E23)+(Beef_Nutrient!M$34*Feed_Composition!$E24)+(Beef_Nutrient!M$35*Feed_Composition!$E2))/365</f>
        <v>3.1151383198425409E-2</v>
      </c>
      <c r="N12" s="564">
        <f>((N$22*Feed_Composition!$E17)+(Beef_Nutrient!N$23*Feed_Composition!$E29)+(Beef_Nutrient!N$27*Feed_Composition!$E9)+(Beef_Nutrient!N$28*Feed_Composition!$E15)+(Beef_Nutrient!N$29*Feed_Composition!$E23)+(Beef_Nutrient!N$32*Feed_Composition!$E25*Feed_Composition!$D25)+(Beef_Nutrient!N$33*Feed_Composition!$E23)+(Beef_Nutrient!N$34*Feed_Composition!$E24)+(Beef_Nutrient!N$35*Feed_Composition!$E2))/61</f>
        <v>2.1287322493307545E-2</v>
      </c>
      <c r="O12" s="564">
        <f>((O$22*Feed_Composition!$E17)+(Beef_Nutrient!O$23*Feed_Composition!$E29)+(Beef_Nutrient!O$27*Feed_Composition!$E9)+(Beef_Nutrient!O$28*Feed_Composition!$E15)+(Beef_Nutrient!O$29*Feed_Composition!$E23)+(Beef_Nutrient!O$32*Feed_Composition!$E25*Feed_Composition!$D25)+(Beef_Nutrient!O$33*Feed_Composition!$E23)+(Beef_Nutrient!O$34*Feed_Composition!$E24)+(Beef_Nutrient!O$35*Feed_Composition!$E2))/212</f>
        <v>3.6094768705405976E-2</v>
      </c>
      <c r="P12" s="564">
        <f>((P$22*Feed_Composition!$E17)+(Beef_Nutrient!P$23*Feed_Composition!$E29)+(Beef_Nutrient!P$27*Feed_Composition!$E9)+(Beef_Nutrient!P$28*Feed_Composition!$E15)+(Beef_Nutrient!P$29*Feed_Composition!$E23)+(Beef_Nutrient!P$32*Feed_Composition!$E25*Feed_Composition!$D25)+(Beef_Nutrient!P$33*Feed_Composition!$E23)+(Beef_Nutrient!P$34*Feed_Composition!$E24)+(Beef_Nutrient!P$35*Feed_Composition!$E2))/61</f>
        <v>1.1280288070864796E-2</v>
      </c>
      <c r="Q12" s="564">
        <f>((Q$22*Feed_Composition!$E17)+(Beef_Nutrient!Q$23*Feed_Composition!$E29)+(Beef_Nutrient!Q$27*Feed_Composition!$E9)+(Beef_Nutrient!Q$28*Feed_Composition!$E15)+(Beef_Nutrient!Q$29*Feed_Composition!$E23)+(Beef_Nutrient!Q$32*Feed_Composition!$E25*Feed_Composition!$D25)+(Beef_Nutrient!Q$33*Feed_Composition!$E23)+(Beef_Nutrient!Q$34*Feed_Composition!$E24)+(Beef_Nutrient!Q$35*Feed_Composition!$E2))/273</f>
        <v>2.6031613007191569E-2</v>
      </c>
      <c r="U12" s="849"/>
      <c r="V12" s="885"/>
      <c r="W12" s="856"/>
      <c r="X12" s="857"/>
      <c r="Y12" s="857"/>
      <c r="Z12" s="857"/>
      <c r="AA12" s="857"/>
      <c r="AB12" s="857"/>
      <c r="AC12" s="857"/>
      <c r="AD12" s="857"/>
      <c r="AE12" s="857"/>
      <c r="AF12" s="857"/>
      <c r="AG12" s="1043"/>
    </row>
    <row r="13" spans="1:33">
      <c r="A13" s="1072" t="s">
        <v>962</v>
      </c>
      <c r="B13" s="1073">
        <f>((B3*16)/1000000)</f>
        <v>9.0718474000000011E-3</v>
      </c>
      <c r="C13" s="1073">
        <f t="shared" ref="C13:Q13" si="3">((C3*16)/1000000)</f>
        <v>1.3063460256E-2</v>
      </c>
      <c r="D13" s="1073">
        <f t="shared" si="3"/>
        <v>3.6287389600000003E-3</v>
      </c>
      <c r="E13" s="1073">
        <f t="shared" si="3"/>
        <v>3.6287389600000003E-3</v>
      </c>
      <c r="F13" s="1073">
        <f t="shared" ref="F13" si="4">((F3*16)/1000000)</f>
        <v>3.6287389600000003E-3</v>
      </c>
      <c r="G13" s="1073">
        <f t="shared" si="3"/>
        <v>9.3984339063999996E-3</v>
      </c>
      <c r="H13" s="1073">
        <f t="shared" si="3"/>
        <v>4.6955882142400004E-3</v>
      </c>
      <c r="I13" s="1073">
        <f t="shared" si="3"/>
        <v>9.0645899220800005E-3</v>
      </c>
      <c r="J13" s="1073">
        <f t="shared" si="3"/>
        <v>7.7727588523200004E-3</v>
      </c>
      <c r="K13" s="1073">
        <f t="shared" si="3"/>
        <v>4.3544867519999999E-3</v>
      </c>
      <c r="L13" s="1073">
        <f t="shared" si="3"/>
        <v>7.9904831899200012E-3</v>
      </c>
      <c r="M13" s="1073">
        <f t="shared" si="3"/>
        <v>6.9236339356799998E-3</v>
      </c>
      <c r="N13" s="1073">
        <f t="shared" si="3"/>
        <v>3.9916128560000003E-3</v>
      </c>
      <c r="O13" s="1073">
        <f t="shared" si="3"/>
        <v>8.3533570859200008E-3</v>
      </c>
      <c r="P13" s="1073">
        <f t="shared" si="3"/>
        <v>4.2311096273600001E-3</v>
      </c>
      <c r="Q13" s="1073">
        <f t="shared" si="3"/>
        <v>3.9843553780800007E-3</v>
      </c>
      <c r="U13" s="1288" t="s">
        <v>977</v>
      </c>
      <c r="V13" s="1317"/>
      <c r="W13" s="1317"/>
      <c r="X13" s="1317"/>
      <c r="Y13" s="1317"/>
      <c r="Z13" s="1317"/>
      <c r="AA13" s="1317"/>
      <c r="AB13" s="1317"/>
      <c r="AC13" s="1317"/>
      <c r="AD13" s="1317"/>
      <c r="AE13" s="1317"/>
      <c r="AF13" s="1317"/>
      <c r="AG13" s="1290"/>
    </row>
    <row r="14" spans="1:33">
      <c r="A14" s="635" t="s">
        <v>281</v>
      </c>
      <c r="B14" s="603">
        <f>B12/B6</f>
        <v>3.9619639067471841E-3</v>
      </c>
      <c r="C14" s="603">
        <f t="shared" ref="C14:Q14" si="5">C12/C6</f>
        <v>3.8610980022022972E-3</v>
      </c>
      <c r="D14" s="603">
        <f t="shared" si="5"/>
        <v>5.0991473281250055E-3</v>
      </c>
      <c r="E14" s="603">
        <f t="shared" si="5"/>
        <v>5.1004517685082958E-3</v>
      </c>
      <c r="F14" s="603">
        <f t="shared" ref="F14" si="6">F12/F6</f>
        <v>4.8337264030556331E-3</v>
      </c>
      <c r="G14" s="603">
        <f t="shared" si="5"/>
        <v>4.1534504906529188E-3</v>
      </c>
      <c r="H14" s="603">
        <f t="shared" si="5"/>
        <v>2.5999999999999999E-3</v>
      </c>
      <c r="I14" s="603">
        <f t="shared" si="5"/>
        <v>3.3353058398234042E-3</v>
      </c>
      <c r="J14" s="603">
        <f t="shared" si="5"/>
        <v>3.8933397678935929E-3</v>
      </c>
      <c r="K14" s="603">
        <f t="shared" si="5"/>
        <v>3.0000000000000001E-3</v>
      </c>
      <c r="L14" s="603">
        <f t="shared" si="5"/>
        <v>3.337254479212392E-3</v>
      </c>
      <c r="M14" s="603">
        <f t="shared" si="5"/>
        <v>3.8959296612480778E-3</v>
      </c>
      <c r="N14" s="603">
        <f t="shared" si="5"/>
        <v>3.0000000000000001E-3</v>
      </c>
      <c r="O14" s="603">
        <f t="shared" si="5"/>
        <v>3.9280737769354116E-3</v>
      </c>
      <c r="P14" s="603">
        <f t="shared" si="5"/>
        <v>2.5999999999999994E-3</v>
      </c>
      <c r="Q14" s="603">
        <f t="shared" si="5"/>
        <v>3.6718341891837044E-3</v>
      </c>
      <c r="U14" s="1291"/>
      <c r="V14" s="1317"/>
      <c r="W14" s="1317"/>
      <c r="X14" s="1317"/>
      <c r="Y14" s="1317"/>
      <c r="Z14" s="1317"/>
      <c r="AA14" s="1317"/>
      <c r="AB14" s="1317"/>
      <c r="AC14" s="1317"/>
      <c r="AD14" s="1317"/>
      <c r="AE14" s="1317"/>
      <c r="AF14" s="1317"/>
      <c r="AG14" s="1290"/>
    </row>
    <row r="15" spans="1:33">
      <c r="A15" s="1072" t="s">
        <v>963</v>
      </c>
      <c r="B15" s="1036"/>
      <c r="C15" s="1036"/>
      <c r="D15" s="1036"/>
      <c r="E15" s="1036"/>
      <c r="F15" s="1036"/>
      <c r="G15" s="1036"/>
      <c r="H15" s="1036"/>
      <c r="I15" s="1036"/>
      <c r="J15" s="1036"/>
      <c r="K15" s="1036"/>
      <c r="L15" s="1036"/>
      <c r="M15" s="1036"/>
      <c r="N15" s="1036"/>
      <c r="O15" s="1036"/>
      <c r="P15" s="1036"/>
      <c r="Q15" s="1036"/>
      <c r="U15" s="1291"/>
      <c r="V15" s="1317"/>
      <c r="W15" s="1317"/>
      <c r="X15" s="1317"/>
      <c r="Y15" s="1317"/>
      <c r="Z15" s="1317"/>
      <c r="AA15" s="1317"/>
      <c r="AB15" s="1317"/>
      <c r="AC15" s="1317"/>
      <c r="AD15" s="1317"/>
      <c r="AE15" s="1317"/>
      <c r="AF15" s="1317"/>
      <c r="AG15" s="1290"/>
    </row>
    <row r="16" spans="1:33">
      <c r="A16" s="635" t="s">
        <v>325</v>
      </c>
      <c r="U16" s="1291"/>
      <c r="V16" s="1317"/>
      <c r="W16" s="1317"/>
      <c r="X16" s="1317"/>
      <c r="Y16" s="1317"/>
      <c r="Z16" s="1317"/>
      <c r="AA16" s="1317"/>
      <c r="AB16" s="1317"/>
      <c r="AC16" s="1317"/>
      <c r="AD16" s="1317"/>
      <c r="AE16" s="1317"/>
      <c r="AF16" s="1317"/>
      <c r="AG16" s="1290"/>
    </row>
    <row r="17" spans="1:33" ht="15" thickBot="1">
      <c r="A17" s="1072" t="s">
        <v>964</v>
      </c>
      <c r="B17" s="1036"/>
      <c r="C17" s="1036"/>
      <c r="D17" s="1036"/>
      <c r="E17" s="1036"/>
      <c r="F17" s="1036"/>
      <c r="G17" s="1036"/>
      <c r="H17" s="1036"/>
      <c r="I17" s="1036"/>
      <c r="J17" s="1036"/>
      <c r="K17" s="1036"/>
      <c r="L17" s="1036"/>
      <c r="M17" s="1036"/>
      <c r="N17" s="1036"/>
      <c r="O17" s="1036"/>
      <c r="P17" s="1036"/>
      <c r="Q17" s="1036"/>
      <c r="U17" s="702"/>
      <c r="V17" s="743"/>
      <c r="W17" s="703"/>
      <c r="X17" s="703"/>
      <c r="Y17" s="703"/>
      <c r="Z17" s="703"/>
      <c r="AA17" s="703"/>
      <c r="AB17" s="703"/>
      <c r="AC17" s="703"/>
      <c r="AD17" s="703"/>
      <c r="AE17" s="703"/>
      <c r="AF17" s="703"/>
      <c r="AG17" s="704"/>
    </row>
    <row r="18" spans="1:33">
      <c r="A18" s="639" t="s">
        <v>479</v>
      </c>
      <c r="B18" s="564">
        <f>((($B$33)*Feed_Composition!$G$23)+(($B$34)*Feed_Composition!$G$24))/365</f>
        <v>1.5152473235518029</v>
      </c>
      <c r="C18" s="564">
        <f>((C$22*Feed_Composition!$G$17)+(Beef_Nutrient!C$23*Feed_Composition!$G$29)+(Beef_Nutrient!C$27*Feed_Composition!$G$9)+(Beef_Nutrient!C$28*Feed_Composition!$G$15)+(Beef_Nutrient!C$29*Feed_Composition!$G$23)+(Beef_Nutrient!C$32*Feed_Composition!$G$25*Feed_Composition!$D$25)+(Beef_Nutrient!C$33*Feed_Composition!$G$23)+(Beef_Nutrient!C$34*Feed_Composition!$G$24)+(Beef_Nutrient!C$35*Feed_Composition!$G$2))/365</f>
        <v>1.4390118097809643</v>
      </c>
      <c r="D18" s="564">
        <f>((D$22*Feed_Composition!$G$17)+(Beef_Nutrient!D$23*Feed_Composition!$G$29)+(Beef_Nutrient!D$27*Feed_Composition!$G$9)+(Beef_Nutrient!D$28*Feed_Composition!$G$15)+(Beef_Nutrient!D$29*Feed_Composition!$G$23)+(Beef_Nutrient!D$32*Feed_Composition!$G$25*Feed_Composition!$D$25)+(Beef_Nutrient!D$33*Feed_Composition!$G$23)+(Beef_Nutrient!D$34*Feed_Composition!$G$24)+(Beef_Nutrient!D$35*Feed_Composition!$G$2))/214</f>
        <v>0.67268760250772586</v>
      </c>
      <c r="E18" s="564">
        <f>((E$22*Feed_Composition!$G$17)+(Beef_Nutrient!E$23*Feed_Composition!$G$29)+(Beef_Nutrient!E$27*Feed_Composition!$G$9)+(Beef_Nutrient!E$28*Feed_Composition!$G$15)+(Beef_Nutrient!E$29*Feed_Composition!$G$23)+(Beef_Nutrient!E$32*Feed_Composition!$G$25*Feed_Composition!$D$25)+(Beef_Nutrient!E$33*Feed_Composition!$G$23)+(Beef_Nutrient!E$34*Feed_Composition!$G$24)+(Beef_Nutrient!E$35*Feed_Composition!$G$2))/214</f>
        <v>0.67980936079878784</v>
      </c>
      <c r="F18" s="564">
        <f>((F$22*Feed_Composition!$G$17)+(Beef_Nutrient!F$23*Feed_Composition!$G$29)+(Beef_Nutrient!F$27*Feed_Composition!$G$9)+(Beef_Nutrient!F$28*Feed_Composition!$G$15)+(Beef_Nutrient!F$29*Feed_Composition!$G$23)+(Beef_Nutrient!F$32*Feed_Composition!$G$25*Feed_Composition!$D$25)+(Beef_Nutrient!F$33*Feed_Composition!$G$23)+(Beef_Nutrient!F$34*Feed_Composition!$G$24)+(Beef_Nutrient!F$35*Feed_Composition!$G$2))/214</f>
        <v>0.54925330344230539</v>
      </c>
      <c r="G18" s="564">
        <f>((G$22*Feed_Composition!$G$17)+(Beef_Nutrient!G$23*Feed_Composition!$G$29)+(Beef_Nutrient!G$27*Feed_Composition!$G$9)+(Beef_Nutrient!G$28*Feed_Composition!$G$15)+(Beef_Nutrient!G$29*Feed_Composition!$G$23)+(Beef_Nutrient!G$32*Feed_Composition!$G$25*Feed_Composition!$D$25)+(Beef_Nutrient!G$33*Feed_Composition!$G$23)+(Beef_Nutrient!G$34*Feed_Composition!$G$24)+(Beef_Nutrient!G$35*Feed_Composition!$G$2))/212</f>
        <v>1.4637510218013756</v>
      </c>
      <c r="H18" s="564">
        <f>((H$22*Feed_Composition!$G$17)+(Beef_Nutrient!H$23*Feed_Composition!$G$29)+(Beef_Nutrient!H$27*Feed_Composition!$G$9)+(Beef_Nutrient!H$28*Feed_Composition!$G$15)+(Beef_Nutrient!H$29*Feed_Composition!$G$23)+(Beef_Nutrient!H$32*Feed_Composition!$G$25*Feed_Composition!$D$25)+(Beef_Nutrient!H$33*Feed_Composition!$G$23)+(Beef_Nutrient!H$34*Feed_Composition!$G$24)+(Beef_Nutrient!H$35*Feed_Composition!$G$2))/61</f>
        <v>0.41735242959352525</v>
      </c>
      <c r="I18" s="564">
        <f>((I$22*Feed_Composition!$G$17)+(Beef_Nutrient!I$23*Feed_Composition!$G$29)+(Beef_Nutrient!I$27*Feed_Composition!$G$9)+(Beef_Nutrient!I$28*Feed_Composition!$G$15)+(Beef_Nutrient!I$29*Feed_Composition!$G$23)+(Beef_Nutrient!I$32*Feed_Composition!$G$25*Feed_Composition!$D$25)+(Beef_Nutrient!I$33*Feed_Composition!$G$23)+(Beef_Nutrient!I$34*Feed_Composition!$G$24)+(Beef_Nutrient!I$35*Feed_Composition!$G$2))/151</f>
        <v>1.8852285510550884</v>
      </c>
      <c r="J18" s="564">
        <f>((J$22*Feed_Composition!$G$17)+(Beef_Nutrient!J$23*Feed_Composition!$G$29)+(Beef_Nutrient!J$27*Feed_Composition!$G$9)+(Beef_Nutrient!J$28*Feed_Composition!$G$15)+(Beef_Nutrient!J$29*Feed_Composition!$G$23)+(Beef_Nutrient!J$32*Feed_Composition!$G$25*Feed_Composition!$D$25)+(Beef_Nutrient!J$33*Feed_Composition!$G$23)+(Beef_Nutrient!J$34*Feed_Composition!$G$24)+(Beef_Nutrient!J$35*Feed_Composition!$G$2))/365</f>
        <v>1.4390758140846078</v>
      </c>
      <c r="K18" s="564">
        <f>((K$22*Feed_Composition!$G$17)+(Beef_Nutrient!K$23*Feed_Composition!$G$29)+(Beef_Nutrient!K$27*Feed_Composition!$G$9)+(Beef_Nutrient!K$28*Feed_Composition!$G$15)+(Beef_Nutrient!K$29*Feed_Composition!$G$23)+(Beef_Nutrient!K$32*Feed_Composition!$G$25*Feed_Composition!$D$25)+(Beef_Nutrient!K$33*Feed_Composition!$G$23)+(Beef_Nutrient!K$34*Feed_Composition!$G$24)+(Beef_Nutrient!K$35*Feed_Composition!$G$2))/61</f>
        <v>1.1266668537276896</v>
      </c>
      <c r="L18" s="564">
        <f>((L$22*Feed_Composition!$G$17)+(Beef_Nutrient!L$23*Feed_Composition!$G$29)+(Beef_Nutrient!L$27*Feed_Composition!$G$9)+(Beef_Nutrient!L$28*Feed_Composition!$G$15)+(Beef_Nutrient!L$29*Feed_Composition!$G$23)+(Beef_Nutrient!L$32*Feed_Composition!$G$25*Feed_Composition!$D$25)+(Beef_Nutrient!L$33*Feed_Composition!$G$23)+(Beef_Nutrient!L$34*Feed_Composition!$G$24)+(Beef_Nutrient!L$35*Feed_Composition!$G$2))/151</f>
        <v>1.7348422168573598</v>
      </c>
      <c r="M18" s="564">
        <f>((M$22*Feed_Composition!$G$17)+(Beef_Nutrient!M$23*Feed_Composition!$G$29)+(Beef_Nutrient!M$27*Feed_Composition!$G$9)+(Beef_Nutrient!M$28*Feed_Composition!$G$15)+(Beef_Nutrient!M$29*Feed_Composition!$G$23)+(Beef_Nutrient!M$32*Feed_Composition!$G$25*Feed_Composition!$D$25)+(Beef_Nutrient!M$33*Feed_Composition!$G$23)+(Beef_Nutrient!M$34*Feed_Composition!$G$24)+(Beef_Nutrient!M$35*Feed_Composition!$G$2))/365</f>
        <v>1.3426567978682544</v>
      </c>
      <c r="N18" s="564">
        <f>(($N$33/61)*Feed_Composition!$G$23)</f>
        <v>1.0643661246653773</v>
      </c>
      <c r="O18" s="564">
        <f>(($O$22*Feed_Composition!$G$17)+($O$27*Feed_Composition!$G$9)+($O$28*Feed_Composition!$G$15)+($O$29*Feed_Composition!$G$23))/212</f>
        <v>1.2710388450406354</v>
      </c>
      <c r="P18" s="564">
        <f>(($P$22*Feed_Composition!$G$17)/61)</f>
        <v>0.38179436547542389</v>
      </c>
      <c r="Q18" s="564">
        <f>((($Q$33)*Feed_Composition!$G$23)+(($Q$34)*Feed_Composition!$G$24))/273</f>
        <v>1.158690802533537</v>
      </c>
    </row>
    <row r="19" spans="1:33">
      <c r="A19" s="635" t="s">
        <v>290</v>
      </c>
      <c r="B19" s="623">
        <f>B18/B6</f>
        <v>0.16923927813494369</v>
      </c>
      <c r="C19" s="623">
        <f t="shared" ref="C19:Q19" si="7">C18/C6</f>
        <v>0.16722196004404594</v>
      </c>
      <c r="D19" s="623">
        <f t="shared" si="7"/>
        <v>0.19785063331626962</v>
      </c>
      <c r="E19" s="623">
        <f t="shared" si="7"/>
        <v>0.19781418186531866</v>
      </c>
      <c r="F19" s="623">
        <f t="shared" ref="F19" si="8">F18/F6</f>
        <v>0.1841032891015624</v>
      </c>
      <c r="G19" s="623">
        <f t="shared" si="7"/>
        <v>0.146862835714548</v>
      </c>
      <c r="H19" s="623">
        <f t="shared" si="7"/>
        <v>8.7999999999999995E-2</v>
      </c>
      <c r="I19" s="623">
        <f t="shared" si="7"/>
        <v>0.15670611679646806</v>
      </c>
      <c r="J19" s="623">
        <f t="shared" si="7"/>
        <v>0.16786679535787186</v>
      </c>
      <c r="K19" s="623">
        <f t="shared" si="7"/>
        <v>0.15</v>
      </c>
      <c r="L19" s="623">
        <f t="shared" si="7"/>
        <v>0.15674508958424785</v>
      </c>
      <c r="M19" s="623">
        <f t="shared" si="7"/>
        <v>0.16791859322496153</v>
      </c>
      <c r="N19" s="623">
        <f t="shared" si="7"/>
        <v>0.15</v>
      </c>
      <c r="O19" s="623">
        <f t="shared" si="7"/>
        <v>0.13832293531008613</v>
      </c>
      <c r="P19" s="623">
        <f t="shared" si="7"/>
        <v>8.7999999999999995E-2</v>
      </c>
      <c r="Q19" s="623">
        <f t="shared" si="7"/>
        <v>0.16343668378367407</v>
      </c>
    </row>
    <row r="21" spans="1:33">
      <c r="A21" s="164" t="s">
        <v>478</v>
      </c>
      <c r="B21" s="564"/>
      <c r="C21" s="564"/>
      <c r="D21" s="564"/>
      <c r="E21" s="564"/>
      <c r="F21" s="564"/>
      <c r="G21" s="564"/>
      <c r="H21" s="564"/>
      <c r="I21" s="564"/>
      <c r="J21" s="564"/>
      <c r="K21" s="564"/>
      <c r="L21" s="564"/>
      <c r="M21" s="564"/>
      <c r="N21" s="564"/>
      <c r="O21" s="564"/>
      <c r="P21" s="564"/>
      <c r="Q21" s="564"/>
    </row>
    <row r="22" spans="1:33">
      <c r="A22" t="s">
        <v>230</v>
      </c>
      <c r="B22" s="564"/>
      <c r="C22" s="564"/>
      <c r="D22" s="564"/>
      <c r="E22" s="564"/>
      <c r="F22" s="564"/>
      <c r="G22" s="564">
        <f>'Conv Forage'!G103/BeefHerd!B28</f>
        <v>239.4997316622642</v>
      </c>
      <c r="H22" s="564">
        <f>'Conv Forage'!H103/BeefHerd!B28</f>
        <v>289.30111596823912</v>
      </c>
      <c r="I22" s="564"/>
      <c r="J22" s="564"/>
      <c r="K22" s="564"/>
      <c r="L22" s="564"/>
      <c r="M22" s="564"/>
      <c r="N22" s="564"/>
      <c r="O22" s="564">
        <f>'Conv Forage'!J103/BeefHerd!B30</f>
        <v>471.39868096778616</v>
      </c>
      <c r="P22" s="564">
        <f>'Conv Forage'!K103/BeefHerd!B30</f>
        <v>264.65291243182793</v>
      </c>
      <c r="Q22" s="564"/>
    </row>
    <row r="23" spans="1:33">
      <c r="A23" t="s">
        <v>231</v>
      </c>
      <c r="B23" s="564"/>
      <c r="C23" s="564"/>
      <c r="D23" s="564"/>
      <c r="E23" s="564"/>
      <c r="F23" s="564"/>
      <c r="G23" s="564">
        <f>'Conv Forage'!G104/BeefHerd!B28</f>
        <v>26.611081295807132</v>
      </c>
      <c r="H23" s="564">
        <f>'Conv Forage'!H104/BeefHerd!B28</f>
        <v>32.144568440915457</v>
      </c>
      <c r="I23" s="564"/>
      <c r="J23" s="564"/>
      <c r="K23" s="564"/>
      <c r="L23" s="564"/>
      <c r="M23" s="564"/>
      <c r="N23" s="564"/>
      <c r="O23" s="564">
        <f>'Conv Forage'!J104/BeefHerd!B30</f>
        <v>52.377631218642904</v>
      </c>
      <c r="P23" s="564">
        <f>'Conv Forage'!K104/BeefHerd!B30</f>
        <v>29.405879159091995</v>
      </c>
      <c r="Q23" s="564"/>
    </row>
    <row r="24" spans="1:33">
      <c r="A24" t="s">
        <v>237</v>
      </c>
      <c r="B24" s="564"/>
      <c r="C24" s="564"/>
      <c r="D24" s="564"/>
      <c r="E24" s="564"/>
      <c r="F24" s="564"/>
      <c r="G24" s="564"/>
      <c r="H24" s="564"/>
      <c r="I24" s="564"/>
      <c r="J24" s="564"/>
      <c r="K24" s="564"/>
      <c r="L24" s="564"/>
      <c r="M24" s="564"/>
      <c r="N24" s="564"/>
      <c r="O24" s="564"/>
      <c r="P24" s="564"/>
      <c r="Q24" s="564"/>
    </row>
    <row r="25" spans="1:33">
      <c r="B25" s="564"/>
      <c r="C25" s="564"/>
      <c r="D25" s="564"/>
      <c r="E25" s="564"/>
      <c r="F25" s="564"/>
      <c r="G25" s="564"/>
      <c r="H25" s="564"/>
      <c r="I25" s="564"/>
      <c r="J25" s="564"/>
      <c r="K25" s="564"/>
      <c r="L25" s="564"/>
      <c r="M25" s="564"/>
      <c r="N25" s="564"/>
      <c r="O25" s="564"/>
      <c r="P25" s="564"/>
      <c r="Q25" s="564"/>
    </row>
    <row r="26" spans="1:33">
      <c r="B26" s="564"/>
      <c r="C26" s="564"/>
      <c r="D26" s="564"/>
      <c r="E26" s="564"/>
      <c r="F26" s="564"/>
      <c r="G26" s="564"/>
      <c r="H26" s="564"/>
      <c r="I26" s="564"/>
      <c r="J26" s="564"/>
      <c r="K26" s="564"/>
      <c r="L26" s="564"/>
      <c r="M26" s="564"/>
      <c r="N26" s="564"/>
      <c r="O26" s="564"/>
      <c r="P26" s="564"/>
      <c r="Q26" s="564"/>
    </row>
    <row r="27" spans="1:33">
      <c r="A27" t="s">
        <v>233</v>
      </c>
      <c r="B27" s="564"/>
      <c r="C27" s="564"/>
      <c r="D27" s="564"/>
      <c r="E27" s="564"/>
      <c r="F27" s="564"/>
      <c r="G27" s="564">
        <f>'Conv Forage'!G108/BeefHerd!B28</f>
        <v>1051.431474749417</v>
      </c>
      <c r="H27" s="564">
        <f>'Conv Forage'!H108/BeefHerd!B28</f>
        <v>0</v>
      </c>
      <c r="I27" s="564"/>
      <c r="J27" s="564"/>
      <c r="K27" s="564"/>
      <c r="L27" s="564"/>
      <c r="M27" s="564"/>
      <c r="N27" s="564"/>
      <c r="O27" s="564">
        <f>'Conv Forage'!J108/BeefHerd!B30</f>
        <v>828.7338610237756</v>
      </c>
      <c r="P27" s="564">
        <f>'Conv Forage'!K108/BeefHerd!B30</f>
        <v>0</v>
      </c>
      <c r="Q27" s="564"/>
    </row>
    <row r="28" spans="1:33">
      <c r="A28" t="s">
        <v>234</v>
      </c>
      <c r="B28" s="564"/>
      <c r="C28" s="564"/>
      <c r="D28" s="564"/>
      <c r="E28" s="564"/>
      <c r="F28" s="564"/>
      <c r="G28" s="564">
        <f>'Conv Forage'!G109/BeefHerd!B28</f>
        <v>477.92339761337138</v>
      </c>
      <c r="H28" s="564">
        <f>'Conv Forage'!H109/BeefHerd!B28</f>
        <v>0</v>
      </c>
      <c r="I28" s="564"/>
      <c r="J28" s="564"/>
      <c r="K28" s="564"/>
      <c r="L28" s="564"/>
      <c r="M28" s="564"/>
      <c r="N28" s="564"/>
      <c r="O28" s="564">
        <f>'Conv Forage'!J109/BeefHerd!B30</f>
        <v>376.69720955626161</v>
      </c>
      <c r="P28" s="564">
        <f>'Conv Forage'!K109/BeefHerd!B30</f>
        <v>0</v>
      </c>
      <c r="Q28" s="564"/>
    </row>
    <row r="29" spans="1:33">
      <c r="A29" t="s">
        <v>235</v>
      </c>
      <c r="B29" s="564"/>
      <c r="C29" s="564"/>
      <c r="D29" s="564"/>
      <c r="E29" s="564"/>
      <c r="F29" s="564"/>
      <c r="G29" s="564">
        <f>'Conv Forage'!G110/BeefHerd!B28</f>
        <v>344.10484628162743</v>
      </c>
      <c r="H29" s="564">
        <f>'Conv Forage'!H110/BeefHerd!B28</f>
        <v>0</v>
      </c>
      <c r="I29" s="564"/>
      <c r="J29" s="564"/>
      <c r="K29" s="564"/>
      <c r="L29" s="564"/>
      <c r="M29" s="564"/>
      <c r="N29" s="564"/>
      <c r="O29" s="564">
        <f>'Conv Forage'!J110/BeefHerd!B30</f>
        <v>271.22199088050832</v>
      </c>
      <c r="P29" s="564">
        <f>'Conv Forage'!K110/BeefHerd!B30</f>
        <v>0</v>
      </c>
      <c r="Q29" s="564"/>
    </row>
    <row r="30" spans="1:33">
      <c r="A30" t="s">
        <v>231</v>
      </c>
      <c r="B30" s="564"/>
      <c r="C30" s="564"/>
      <c r="D30" s="564"/>
      <c r="E30" s="564"/>
      <c r="F30" s="564"/>
      <c r="G30" s="564">
        <f>'Conv Forage'!G111/BeefHerd!B28</f>
        <v>38.233871809069718</v>
      </c>
      <c r="H30" s="564">
        <f>'Conv Forage'!H111/BeefHerd!B28</f>
        <v>0</v>
      </c>
      <c r="I30" s="564"/>
      <c r="J30" s="564"/>
      <c r="K30" s="564"/>
      <c r="L30" s="564"/>
      <c r="M30" s="564"/>
      <c r="N30" s="564"/>
      <c r="O30" s="564">
        <f>'Conv Forage'!J111/BeefHerd!B30</f>
        <v>30.135776764500928</v>
      </c>
      <c r="P30" s="564">
        <f>'Conv Forage'!K111/BeefHerd!B30</f>
        <v>0</v>
      </c>
      <c r="Q30" s="564"/>
    </row>
    <row r="31" spans="1:33">
      <c r="A31" t="s">
        <v>237</v>
      </c>
      <c r="B31" s="564"/>
      <c r="C31" s="564"/>
      <c r="D31" s="564"/>
      <c r="E31" s="564"/>
      <c r="F31" s="564"/>
      <c r="G31" s="564">
        <f>'Conv Forage'!G112/BeefHerd!B28</f>
        <v>0</v>
      </c>
      <c r="H31" s="564">
        <f>'Conv Forage'!H112/BeefHerd!B28</f>
        <v>0</v>
      </c>
      <c r="I31" s="564"/>
      <c r="J31" s="564"/>
      <c r="K31" s="564"/>
      <c r="L31" s="564"/>
      <c r="M31" s="564"/>
      <c r="N31" s="564"/>
      <c r="O31" s="564">
        <f>'Conv Forage'!J112/BeefHerd!B30</f>
        <v>0</v>
      </c>
      <c r="P31" s="564">
        <f>'Conv Forage'!K112/BeefHerd!B30</f>
        <v>0</v>
      </c>
      <c r="Q31" s="564"/>
    </row>
    <row r="32" spans="1:33">
      <c r="A32" t="s">
        <v>482</v>
      </c>
      <c r="B32" s="564"/>
      <c r="C32" s="564"/>
      <c r="D32" s="564">
        <f>214*4.56</f>
        <v>975.83999999999992</v>
      </c>
      <c r="E32" s="564">
        <f>214*4.56</f>
        <v>975.83999999999992</v>
      </c>
      <c r="F32" s="564"/>
      <c r="G32" s="564"/>
      <c r="H32" s="564"/>
      <c r="I32" s="564"/>
      <c r="J32" s="564"/>
      <c r="K32" s="564"/>
      <c r="L32" s="564"/>
      <c r="M32" s="564"/>
      <c r="N32" s="564"/>
      <c r="O32" s="564"/>
      <c r="P32" s="564"/>
      <c r="Q32" s="564"/>
    </row>
    <row r="33" spans="1:35">
      <c r="A33" t="s">
        <v>474</v>
      </c>
      <c r="B33" s="564">
        <f>SUM('Conv Energy'!D179+'Conv Energy'!E179+'Conv Energy'!F179+'Conv Energy'!G179+'Conv Energy'!N179+'Conv Energy'!O179)</f>
        <v>1696.1243327362645</v>
      </c>
      <c r="C33" s="564">
        <f>'Conv Energy'!Q181</f>
        <v>1788.6290173029811</v>
      </c>
      <c r="D33" s="564">
        <f>'Conv Energy'!Q183</f>
        <v>85.91044604058402</v>
      </c>
      <c r="E33" s="564">
        <f>'Conv Energy'!Q187</f>
        <v>85.042195273576098</v>
      </c>
      <c r="F33" s="564">
        <f>D33</f>
        <v>85.91044604058402</v>
      </c>
      <c r="G33" s="564"/>
      <c r="H33" s="564"/>
      <c r="I33" s="564">
        <f>GrassFedOnly!P3</f>
        <v>1512.0267242215236</v>
      </c>
      <c r="J33" s="564">
        <f>GrassFedOnly!P5</f>
        <v>1731.3945543221489</v>
      </c>
      <c r="K33" s="564">
        <f>GrassFedOnly!P7</f>
        <v>458.17785384926049</v>
      </c>
      <c r="L33" s="564">
        <f>GrassFedOnly!P9</f>
        <v>1389.4367315862919</v>
      </c>
      <c r="M33" s="564">
        <f>GrassFedOnly!P11</f>
        <v>1611.1123961042367</v>
      </c>
      <c r="N33" s="564">
        <f>GrassFedOnly!P13</f>
        <v>432.84222403058675</v>
      </c>
      <c r="O33" s="564"/>
      <c r="P33" s="564"/>
      <c r="Q33" s="564">
        <f>'Conv Energy'!Q215</f>
        <v>1285.2954376402854</v>
      </c>
    </row>
    <row r="34" spans="1:35">
      <c r="A34" t="s">
        <v>475</v>
      </c>
      <c r="B34" s="564">
        <f>SUM('Conv Energy'!H179+'Conv Energy'!I179+'Conv Energy'!J179+'Conv Energy'!K179+'Conv Energy'!L179+'Conv Energy'!M179)</f>
        <v>1571.8243325577284</v>
      </c>
      <c r="C34" s="564">
        <f>'Conv Energy'!R181</f>
        <v>1352.3418840768675</v>
      </c>
      <c r="D34" s="564">
        <f>'Conv Energy'!R183</f>
        <v>519.70463173981966</v>
      </c>
      <c r="E34" s="564">
        <f>'Conv Energy'!R187</f>
        <v>528.41144168370624</v>
      </c>
      <c r="F34" s="564">
        <f>D34</f>
        <v>519.70463173981966</v>
      </c>
      <c r="G34" s="564"/>
      <c r="H34" s="564"/>
      <c r="I34" s="564">
        <f>GrassFedOnly!Q3</f>
        <v>304.5552767162622</v>
      </c>
      <c r="J34" s="564">
        <f>GrassFedOnly!Q5</f>
        <v>1397.6499420661025</v>
      </c>
      <c r="K34" s="564">
        <f>GrassFedOnly!Q7</f>
        <v>0</v>
      </c>
      <c r="L34" s="564">
        <f>GrassFedOnly!Q9</f>
        <v>281.81928951325028</v>
      </c>
      <c r="M34" s="564">
        <f>GrassFedOnly!Q11</f>
        <v>1307.3835358225128</v>
      </c>
      <c r="N34" s="564">
        <f>GrassFedOnly!Q13</f>
        <v>0</v>
      </c>
      <c r="O34" s="564"/>
      <c r="P34" s="564"/>
      <c r="Q34" s="564">
        <f>'Conv Energy'!R215</f>
        <v>650.14880760848837</v>
      </c>
    </row>
    <row r="35" spans="1:35">
      <c r="A35" s="648" t="s">
        <v>306</v>
      </c>
      <c r="B35" s="564"/>
      <c r="C35" s="564"/>
      <c r="D35" s="564"/>
      <c r="E35" s="564"/>
      <c r="F35" s="564">
        <f>0.5472*60</f>
        <v>32.832000000000001</v>
      </c>
      <c r="G35" s="564"/>
      <c r="H35" s="564"/>
      <c r="I35" s="564"/>
      <c r="J35" s="564"/>
      <c r="K35" s="564"/>
      <c r="L35" s="564"/>
      <c r="M35" s="564"/>
      <c r="N35" s="564"/>
      <c r="O35" s="564"/>
      <c r="P35" s="564"/>
      <c r="Q35" s="564"/>
      <c r="T35" s="8"/>
      <c r="AH35" s="8"/>
      <c r="AI35" s="8"/>
    </row>
    <row r="36" spans="1:35" ht="15" thickBot="1">
      <c r="T36" s="8"/>
      <c r="AH36" s="8"/>
      <c r="AI36" s="8"/>
    </row>
    <row r="37" spans="1:35" ht="15" customHeight="1">
      <c r="A37" s="12"/>
      <c r="B37" s="710" t="s">
        <v>85</v>
      </c>
      <c r="C37" s="643" t="s">
        <v>86</v>
      </c>
      <c r="D37" s="643" t="s">
        <v>87</v>
      </c>
      <c r="E37" s="643" t="s">
        <v>84</v>
      </c>
      <c r="F37" s="643" t="s">
        <v>495</v>
      </c>
      <c r="G37" s="643" t="s">
        <v>94</v>
      </c>
      <c r="H37" s="643" t="s">
        <v>93</v>
      </c>
      <c r="I37" s="643" t="s">
        <v>499</v>
      </c>
      <c r="J37" s="643" t="s">
        <v>500</v>
      </c>
      <c r="K37" s="643" t="s">
        <v>501</v>
      </c>
      <c r="L37" s="643" t="s">
        <v>502</v>
      </c>
      <c r="M37" s="643" t="s">
        <v>503</v>
      </c>
      <c r="N37" s="643" t="s">
        <v>504</v>
      </c>
      <c r="O37" s="643" t="s">
        <v>97</v>
      </c>
      <c r="P37" s="643" t="s">
        <v>96</v>
      </c>
      <c r="Q37" s="651" t="s">
        <v>40</v>
      </c>
      <c r="R37" s="1312" t="s">
        <v>356</v>
      </c>
      <c r="S37" s="1299" t="s">
        <v>378</v>
      </c>
      <c r="T37" s="8"/>
      <c r="U37" s="8"/>
      <c r="V37" s="8"/>
      <c r="W37" s="8"/>
      <c r="X37" s="8"/>
      <c r="Y37" s="8"/>
      <c r="Z37" s="8"/>
      <c r="AA37" s="8"/>
      <c r="AB37" s="8"/>
      <c r="AC37" s="8"/>
      <c r="AD37" s="8"/>
      <c r="AE37" s="8"/>
      <c r="AF37" s="8"/>
      <c r="AG37" s="8"/>
      <c r="AH37" s="8"/>
      <c r="AI37" s="8"/>
    </row>
    <row r="38" spans="1:35" ht="16.5" customHeight="1" thickBot="1">
      <c r="A38" s="570" t="s">
        <v>276</v>
      </c>
      <c r="B38" s="977">
        <f>BeefHerd!B25</f>
        <v>429396.34801288933</v>
      </c>
      <c r="C38" s="978">
        <f>BeefHerd!B33</f>
        <v>17891.514500537054</v>
      </c>
      <c r="D38" s="978">
        <f>BeefHerd!B26/2</f>
        <v>187646.20408163263</v>
      </c>
      <c r="E38" s="978">
        <f>BeefHerd!B26/2</f>
        <v>187646.20408163263</v>
      </c>
      <c r="F38" s="978">
        <f>BeefHerd!B34</f>
        <v>205271.45349492674</v>
      </c>
      <c r="G38" s="978">
        <f>H38</f>
        <v>390290.61071941652</v>
      </c>
      <c r="H38" s="978">
        <f>BeefHerd!B28+BeefHerd!B34</f>
        <v>390290.61071941652</v>
      </c>
      <c r="I38" s="978">
        <f>J38</f>
        <v>0</v>
      </c>
      <c r="J38" s="978">
        <f>K38</f>
        <v>0</v>
      </c>
      <c r="K38" s="978">
        <f>BeefHerd!B29</f>
        <v>0</v>
      </c>
      <c r="L38" s="978">
        <f>M38</f>
        <v>0</v>
      </c>
      <c r="M38" s="978">
        <f>N38</f>
        <v>0</v>
      </c>
      <c r="N38" s="978">
        <f>BeefHerd!B31</f>
        <v>0</v>
      </c>
      <c r="O38" s="978">
        <f>BeefHerd!B30</f>
        <v>110304.19267024705</v>
      </c>
      <c r="P38" s="978">
        <f>BeefHerd!B30</f>
        <v>110304.19267024705</v>
      </c>
      <c r="Q38" s="979">
        <f>BeefHerd!B32</f>
        <v>74714.964554242732</v>
      </c>
      <c r="R38" s="1313"/>
      <c r="S38" s="1300"/>
      <c r="T38" s="863"/>
      <c r="U38" s="8"/>
      <c r="V38" s="8"/>
      <c r="W38" s="8"/>
      <c r="X38" s="8"/>
      <c r="Y38" s="8"/>
      <c r="Z38" s="8"/>
      <c r="AA38" s="8"/>
      <c r="AB38" s="8"/>
      <c r="AC38" s="8"/>
      <c r="AD38" s="8"/>
      <c r="AE38" s="8"/>
      <c r="AF38" s="8"/>
      <c r="AG38" s="8"/>
      <c r="AH38" s="745"/>
      <c r="AI38" s="745"/>
    </row>
    <row r="39" spans="1:35" ht="24.75" customHeight="1" thickBot="1">
      <c r="A39" s="15"/>
      <c r="B39" s="1425" t="s">
        <v>480</v>
      </c>
      <c r="C39" s="1426"/>
      <c r="D39" s="1426"/>
      <c r="E39" s="1426"/>
      <c r="F39" s="1426"/>
      <c r="G39" s="1427"/>
      <c r="H39" s="1427"/>
      <c r="I39" s="1427"/>
      <c r="J39" s="1427"/>
      <c r="K39" s="1427"/>
      <c r="L39" s="1427"/>
      <c r="M39" s="1427"/>
      <c r="N39" s="1427"/>
      <c r="O39" s="1427"/>
      <c r="P39" s="1427"/>
      <c r="Q39" s="1428"/>
      <c r="R39" s="649" t="s">
        <v>353</v>
      </c>
      <c r="S39" s="649" t="s">
        <v>184</v>
      </c>
      <c r="T39" s="682"/>
      <c r="U39" s="8"/>
      <c r="V39" s="8"/>
      <c r="W39" s="8"/>
      <c r="X39" s="8"/>
      <c r="Y39" s="8"/>
      <c r="Z39" s="8"/>
      <c r="AA39" s="8"/>
      <c r="AB39" s="8"/>
      <c r="AC39" s="8"/>
      <c r="AD39" s="8"/>
      <c r="AE39" s="8"/>
      <c r="AF39" s="8"/>
      <c r="AG39" s="8"/>
      <c r="AH39" s="208"/>
      <c r="AI39" s="208"/>
    </row>
    <row r="40" spans="1:35">
      <c r="A40" s="570" t="s">
        <v>965</v>
      </c>
      <c r="B40" s="8"/>
      <c r="C40" s="8"/>
      <c r="D40" s="8"/>
      <c r="E40" s="8"/>
      <c r="F40" s="8"/>
      <c r="G40" s="8"/>
      <c r="H40" s="8"/>
      <c r="I40" s="8"/>
      <c r="J40" s="8"/>
      <c r="K40" s="8"/>
      <c r="L40" s="8"/>
      <c r="M40" s="8"/>
      <c r="N40" s="8"/>
      <c r="O40" s="8"/>
      <c r="P40" s="8"/>
      <c r="Q40" s="69"/>
      <c r="R40" s="12"/>
      <c r="S40" s="14"/>
      <c r="T40" s="863"/>
      <c r="U40" s="8"/>
      <c r="V40" s="8"/>
      <c r="W40" s="8"/>
      <c r="X40" s="8"/>
      <c r="Y40" s="8"/>
      <c r="Z40" s="8"/>
      <c r="AA40" s="8"/>
      <c r="AB40" s="8"/>
      <c r="AC40" s="8"/>
      <c r="AD40" s="8"/>
      <c r="AE40" s="8"/>
      <c r="AF40" s="8"/>
      <c r="AG40" s="8"/>
      <c r="AH40" s="8"/>
      <c r="AI40" s="8"/>
    </row>
    <row r="41" spans="1:35" ht="21.75" customHeight="1">
      <c r="A41" s="570" t="s">
        <v>230</v>
      </c>
      <c r="B41" s="599">
        <f>B22*B$38</f>
        <v>0</v>
      </c>
      <c r="C41" s="599">
        <f t="shared" ref="B41:Q43" si="9">C22*C$38</f>
        <v>0</v>
      </c>
      <c r="D41" s="599">
        <f t="shared" si="9"/>
        <v>0</v>
      </c>
      <c r="E41" s="599">
        <f t="shared" si="9"/>
        <v>0</v>
      </c>
      <c r="F41" s="599">
        <f t="shared" si="9"/>
        <v>0</v>
      </c>
      <c r="G41" s="599">
        <f t="shared" si="9"/>
        <v>93474496.537601471</v>
      </c>
      <c r="H41" s="599">
        <f t="shared" si="9"/>
        <v>112911509.23305279</v>
      </c>
      <c r="I41" s="599">
        <f t="shared" ref="I41" si="10">I22*I$38</f>
        <v>0</v>
      </c>
      <c r="J41" s="599">
        <f t="shared" ref="J41:M41" si="11">J22*J$38</f>
        <v>0</v>
      </c>
      <c r="K41" s="599">
        <f t="shared" si="11"/>
        <v>0</v>
      </c>
      <c r="L41" s="599">
        <f t="shared" si="11"/>
        <v>0</v>
      </c>
      <c r="M41" s="599">
        <f t="shared" si="11"/>
        <v>0</v>
      </c>
      <c r="N41" s="599">
        <f t="shared" si="9"/>
        <v>0</v>
      </c>
      <c r="O41" s="599">
        <f t="shared" si="9"/>
        <v>51997250.929971009</v>
      </c>
      <c r="P41" s="599">
        <f t="shared" si="9"/>
        <v>29192325.843622368</v>
      </c>
      <c r="Q41" s="621">
        <f t="shared" si="9"/>
        <v>0</v>
      </c>
      <c r="R41" s="602">
        <f>SUM(B41:Q41)/907.18474</f>
        <v>316997.81738419412</v>
      </c>
      <c r="S41" s="621">
        <f>R41*Feed_Composition!E17*2000</f>
        <v>1648388.6503978095</v>
      </c>
      <c r="T41" s="682"/>
      <c r="U41" s="745"/>
      <c r="V41" s="745"/>
      <c r="W41" s="745"/>
      <c r="X41" s="745"/>
      <c r="Y41" s="745"/>
      <c r="Z41" s="745"/>
      <c r="AA41" s="745"/>
      <c r="AB41" s="745"/>
      <c r="AC41" s="745"/>
      <c r="AD41" s="745"/>
      <c r="AE41" s="745"/>
      <c r="AF41" s="745"/>
      <c r="AG41" s="745"/>
      <c r="AH41" s="596"/>
      <c r="AI41" s="8"/>
    </row>
    <row r="42" spans="1:35">
      <c r="A42" s="570" t="s">
        <v>231</v>
      </c>
      <c r="B42" s="599">
        <f t="shared" si="9"/>
        <v>0</v>
      </c>
      <c r="C42" s="599">
        <f t="shared" si="9"/>
        <v>0</v>
      </c>
      <c r="D42" s="599">
        <f t="shared" si="9"/>
        <v>0</v>
      </c>
      <c r="E42" s="599">
        <f t="shared" si="9"/>
        <v>0</v>
      </c>
      <c r="F42" s="599">
        <f t="shared" si="9"/>
        <v>0</v>
      </c>
      <c r="G42" s="599">
        <f t="shared" si="9"/>
        <v>10386055.170844607</v>
      </c>
      <c r="H42" s="599">
        <f t="shared" si="9"/>
        <v>12545723.248116976</v>
      </c>
      <c r="I42" s="599">
        <f t="shared" ref="I42" si="12">I23*I$38</f>
        <v>0</v>
      </c>
      <c r="J42" s="599">
        <f t="shared" ref="J42:M42" si="13">J23*J$38</f>
        <v>0</v>
      </c>
      <c r="K42" s="599">
        <f t="shared" si="13"/>
        <v>0</v>
      </c>
      <c r="L42" s="599">
        <f t="shared" si="13"/>
        <v>0</v>
      </c>
      <c r="M42" s="599">
        <f t="shared" si="13"/>
        <v>0</v>
      </c>
      <c r="N42" s="599">
        <f t="shared" si="9"/>
        <v>0</v>
      </c>
      <c r="O42" s="599">
        <f t="shared" si="9"/>
        <v>5777472.3255523341</v>
      </c>
      <c r="P42" s="599">
        <f t="shared" si="9"/>
        <v>3243591.7604024857</v>
      </c>
      <c r="Q42" s="621">
        <f t="shared" si="9"/>
        <v>0</v>
      </c>
      <c r="R42" s="602">
        <f t="shared" ref="R42:R54" si="14">SUM(B42:Q42)/907.18474</f>
        <v>35221.979709354899</v>
      </c>
      <c r="S42" s="69"/>
      <c r="T42" s="865"/>
      <c r="U42" s="318"/>
      <c r="V42" s="318"/>
      <c r="W42" s="318"/>
      <c r="X42" s="746"/>
      <c r="Y42" s="746"/>
      <c r="Z42" s="746"/>
      <c r="AA42" s="746"/>
      <c r="AB42" s="746"/>
      <c r="AC42" s="746"/>
      <c r="AD42" s="746"/>
      <c r="AE42" s="318"/>
      <c r="AF42" s="208"/>
      <c r="AG42" s="208"/>
      <c r="AH42" s="596"/>
      <c r="AI42" s="8"/>
    </row>
    <row r="43" spans="1:35">
      <c r="A43" s="570" t="s">
        <v>237</v>
      </c>
      <c r="B43" s="599">
        <f t="shared" si="9"/>
        <v>0</v>
      </c>
      <c r="C43" s="599">
        <f t="shared" si="9"/>
        <v>0</v>
      </c>
      <c r="D43" s="599">
        <f t="shared" si="9"/>
        <v>0</v>
      </c>
      <c r="E43" s="599">
        <f t="shared" si="9"/>
        <v>0</v>
      </c>
      <c r="F43" s="599">
        <f t="shared" si="9"/>
        <v>0</v>
      </c>
      <c r="G43" s="599">
        <f t="shared" si="9"/>
        <v>0</v>
      </c>
      <c r="H43" s="599">
        <f t="shared" si="9"/>
        <v>0</v>
      </c>
      <c r="I43" s="599">
        <f t="shared" ref="I43" si="15">I24*I$38</f>
        <v>0</v>
      </c>
      <c r="J43" s="599">
        <f t="shared" ref="J43:M43" si="16">J24*J$38</f>
        <v>0</v>
      </c>
      <c r="K43" s="599">
        <f t="shared" si="16"/>
        <v>0</v>
      </c>
      <c r="L43" s="599">
        <f t="shared" si="16"/>
        <v>0</v>
      </c>
      <c r="M43" s="599">
        <f t="shared" si="16"/>
        <v>0</v>
      </c>
      <c r="N43" s="599">
        <f t="shared" si="9"/>
        <v>0</v>
      </c>
      <c r="O43" s="599">
        <f t="shared" si="9"/>
        <v>0</v>
      </c>
      <c r="P43" s="599">
        <f t="shared" si="9"/>
        <v>0</v>
      </c>
      <c r="Q43" s="621">
        <f t="shared" si="9"/>
        <v>0</v>
      </c>
      <c r="R43" s="602">
        <f t="shared" si="14"/>
        <v>0</v>
      </c>
      <c r="S43" s="69"/>
      <c r="T43" s="8"/>
      <c r="U43" s="8"/>
      <c r="V43" s="8"/>
      <c r="W43" s="8"/>
      <c r="X43" s="8"/>
      <c r="Y43" s="8"/>
      <c r="Z43" s="8"/>
      <c r="AA43" s="8"/>
      <c r="AB43" s="8"/>
      <c r="AC43" s="599"/>
      <c r="AD43" s="8"/>
      <c r="AE43" s="8"/>
      <c r="AF43" s="8"/>
      <c r="AG43" s="8"/>
      <c r="AH43" s="596"/>
      <c r="AI43" s="8"/>
    </row>
    <row r="44" spans="1:35">
      <c r="A44" s="570"/>
      <c r="B44" s="599"/>
      <c r="C44" s="599"/>
      <c r="D44" s="599"/>
      <c r="E44" s="599"/>
      <c r="F44" s="599"/>
      <c r="G44" s="599"/>
      <c r="H44" s="599"/>
      <c r="I44" s="599"/>
      <c r="J44" s="599"/>
      <c r="K44" s="599"/>
      <c r="L44" s="599"/>
      <c r="M44" s="599"/>
      <c r="N44" s="599"/>
      <c r="O44" s="599"/>
      <c r="P44" s="599"/>
      <c r="Q44" s="621"/>
      <c r="R44" s="602"/>
      <c r="S44" s="69"/>
      <c r="T44" s="8"/>
      <c r="U44" s="8"/>
      <c r="V44" s="8"/>
      <c r="W44" s="8"/>
      <c r="X44" s="8"/>
      <c r="Y44" s="596"/>
      <c r="Z44" s="8"/>
      <c r="AA44" s="620"/>
      <c r="AB44" s="781"/>
      <c r="AC44" s="599"/>
      <c r="AD44" s="599"/>
      <c r="AE44" s="599"/>
      <c r="AF44" s="596"/>
      <c r="AG44" s="596"/>
      <c r="AH44" s="596"/>
      <c r="AI44" s="8"/>
    </row>
    <row r="45" spans="1:35">
      <c r="A45" s="570"/>
      <c r="B45" s="599"/>
      <c r="C45" s="599"/>
      <c r="D45" s="599"/>
      <c r="E45" s="599"/>
      <c r="F45" s="599"/>
      <c r="G45" s="599"/>
      <c r="H45" s="599"/>
      <c r="I45" s="599"/>
      <c r="J45" s="599"/>
      <c r="K45" s="599"/>
      <c r="L45" s="599"/>
      <c r="M45" s="599"/>
      <c r="N45" s="599"/>
      <c r="O45" s="599"/>
      <c r="P45" s="599"/>
      <c r="Q45" s="621"/>
      <c r="R45" s="602"/>
      <c r="S45" s="69"/>
      <c r="T45" s="865"/>
      <c r="U45" s="8"/>
      <c r="V45" s="8"/>
      <c r="W45" s="8"/>
      <c r="X45" s="8"/>
      <c r="Y45" s="596"/>
      <c r="Z45" s="8"/>
      <c r="AA45" s="8"/>
      <c r="AB45" s="8"/>
      <c r="AC45" s="599"/>
      <c r="AD45" s="8"/>
      <c r="AE45" s="8"/>
      <c r="AF45" s="596"/>
      <c r="AG45" s="596"/>
      <c r="AH45" s="596"/>
      <c r="AI45" s="8"/>
    </row>
    <row r="46" spans="1:35">
      <c r="A46" s="570" t="s">
        <v>233</v>
      </c>
      <c r="B46" s="599">
        <f t="shared" ref="B46:Q51" si="17">B27*B$38</f>
        <v>0</v>
      </c>
      <c r="C46" s="599">
        <f t="shared" si="17"/>
        <v>0</v>
      </c>
      <c r="D46" s="599">
        <f t="shared" si="17"/>
        <v>0</v>
      </c>
      <c r="E46" s="599">
        <f t="shared" si="17"/>
        <v>0</v>
      </c>
      <c r="F46" s="599">
        <f t="shared" si="17"/>
        <v>0</v>
      </c>
      <c r="G46" s="599">
        <f t="shared" si="17"/>
        <v>410363832.40956676</v>
      </c>
      <c r="H46" s="599">
        <f t="shared" si="17"/>
        <v>0</v>
      </c>
      <c r="I46" s="599">
        <f t="shared" ref="I46" si="18">I27*I$38</f>
        <v>0</v>
      </c>
      <c r="J46" s="599">
        <f t="shared" ref="J46:M46" si="19">J27*J$38</f>
        <v>0</v>
      </c>
      <c r="K46" s="599">
        <f t="shared" si="19"/>
        <v>0</v>
      </c>
      <c r="L46" s="599">
        <f t="shared" si="19"/>
        <v>0</v>
      </c>
      <c r="M46" s="599">
        <f t="shared" si="19"/>
        <v>0</v>
      </c>
      <c r="N46" s="599">
        <f t="shared" si="17"/>
        <v>0</v>
      </c>
      <c r="O46" s="599">
        <f t="shared" si="17"/>
        <v>91412819.478724286</v>
      </c>
      <c r="P46" s="599">
        <f t="shared" si="17"/>
        <v>0</v>
      </c>
      <c r="Q46" s="621">
        <f t="shared" si="17"/>
        <v>0</v>
      </c>
      <c r="R46" s="602">
        <f t="shared" si="14"/>
        <v>553114.07893423236</v>
      </c>
      <c r="S46" s="621">
        <f>R46*Feed_Composition!E4*2000</f>
        <v>3318684.4736053939</v>
      </c>
      <c r="T46" s="865"/>
      <c r="U46" s="8"/>
      <c r="V46" s="8"/>
      <c r="W46" s="8"/>
      <c r="X46" s="8"/>
      <c r="Y46" s="596"/>
      <c r="Z46" s="8"/>
      <c r="AA46" s="8"/>
      <c r="AB46" s="8"/>
      <c r="AC46" s="599"/>
      <c r="AD46" s="8"/>
      <c r="AE46" s="8"/>
      <c r="AF46" s="596"/>
      <c r="AG46" s="596"/>
      <c r="AH46" s="596"/>
      <c r="AI46" s="8"/>
    </row>
    <row r="47" spans="1:35">
      <c r="A47" s="570" t="s">
        <v>234</v>
      </c>
      <c r="B47" s="599">
        <f t="shared" si="17"/>
        <v>0</v>
      </c>
      <c r="C47" s="599">
        <f t="shared" si="17"/>
        <v>0</v>
      </c>
      <c r="D47" s="599">
        <f t="shared" si="17"/>
        <v>0</v>
      </c>
      <c r="E47" s="599">
        <f t="shared" si="17"/>
        <v>0</v>
      </c>
      <c r="F47" s="599">
        <f t="shared" si="17"/>
        <v>0</v>
      </c>
      <c r="G47" s="599">
        <f t="shared" si="17"/>
        <v>186529014.73162124</v>
      </c>
      <c r="H47" s="599">
        <f t="shared" si="17"/>
        <v>0</v>
      </c>
      <c r="I47" s="599">
        <f t="shared" ref="I47" si="20">I28*I$38</f>
        <v>0</v>
      </c>
      <c r="J47" s="599">
        <f t="shared" ref="J47:M47" si="21">J28*J$38</f>
        <v>0</v>
      </c>
      <c r="K47" s="599">
        <f t="shared" si="21"/>
        <v>0</v>
      </c>
      <c r="L47" s="599">
        <f t="shared" si="21"/>
        <v>0</v>
      </c>
      <c r="M47" s="599">
        <f t="shared" si="21"/>
        <v>0</v>
      </c>
      <c r="N47" s="599">
        <f t="shared" si="17"/>
        <v>0</v>
      </c>
      <c r="O47" s="599">
        <f t="shared" si="17"/>
        <v>41551281.581238307</v>
      </c>
      <c r="P47" s="599">
        <f t="shared" si="17"/>
        <v>0</v>
      </c>
      <c r="Q47" s="621">
        <f t="shared" si="17"/>
        <v>0</v>
      </c>
      <c r="R47" s="602">
        <f t="shared" si="14"/>
        <v>251415.49042465101</v>
      </c>
      <c r="S47" s="621">
        <f>R47*Feed_Composition!E15*2000</f>
        <v>4173497.1410492072</v>
      </c>
      <c r="T47" s="865"/>
      <c r="U47" s="8"/>
      <c r="V47" s="8"/>
      <c r="W47" s="8"/>
      <c r="X47" s="8"/>
      <c r="Y47" s="596"/>
      <c r="Z47" s="8"/>
      <c r="AA47" s="8"/>
      <c r="AB47" s="8"/>
      <c r="AC47" s="599"/>
      <c r="AD47" s="8"/>
      <c r="AE47" s="8"/>
      <c r="AF47" s="596"/>
      <c r="AG47" s="596"/>
      <c r="AH47" s="596"/>
      <c r="AI47" s="8"/>
    </row>
    <row r="48" spans="1:35">
      <c r="A48" s="570" t="s">
        <v>235</v>
      </c>
      <c r="B48" s="599">
        <f t="shared" si="17"/>
        <v>0</v>
      </c>
      <c r="C48" s="599">
        <f t="shared" si="17"/>
        <v>0</v>
      </c>
      <c r="D48" s="599">
        <f t="shared" si="17"/>
        <v>0</v>
      </c>
      <c r="E48" s="599">
        <f t="shared" si="17"/>
        <v>0</v>
      </c>
      <c r="F48" s="599">
        <f t="shared" si="17"/>
        <v>0</v>
      </c>
      <c r="G48" s="599">
        <f t="shared" si="17"/>
        <v>134300890.60676733</v>
      </c>
      <c r="H48" s="599">
        <f t="shared" si="17"/>
        <v>0</v>
      </c>
      <c r="I48" s="599">
        <f t="shared" ref="I48" si="22">I29*I$38</f>
        <v>0</v>
      </c>
      <c r="J48" s="599">
        <f t="shared" ref="J48:M48" si="23">J29*J$38</f>
        <v>0</v>
      </c>
      <c r="K48" s="599">
        <f t="shared" si="23"/>
        <v>0</v>
      </c>
      <c r="L48" s="599">
        <f t="shared" si="23"/>
        <v>0</v>
      </c>
      <c r="M48" s="599">
        <f t="shared" si="23"/>
        <v>0</v>
      </c>
      <c r="N48" s="599">
        <f t="shared" si="17"/>
        <v>0</v>
      </c>
      <c r="O48" s="599">
        <f t="shared" si="17"/>
        <v>29916922.73849158</v>
      </c>
      <c r="P48" s="599">
        <f t="shared" si="17"/>
        <v>0</v>
      </c>
      <c r="Q48" s="621">
        <f t="shared" si="17"/>
        <v>0</v>
      </c>
      <c r="R48" s="602">
        <f t="shared" si="14"/>
        <v>181019.15310574876</v>
      </c>
      <c r="S48" s="621">
        <f>R48*2000*Feed_Composition!E8</f>
        <v>1049911.0880133428</v>
      </c>
      <c r="T48" s="865"/>
      <c r="U48" s="8"/>
      <c r="V48" s="8"/>
      <c r="W48" s="8"/>
      <c r="X48" s="8"/>
      <c r="Y48" s="596"/>
      <c r="Z48" s="8"/>
      <c r="AA48" s="8"/>
      <c r="AB48" s="8"/>
      <c r="AC48" s="599"/>
      <c r="AD48" s="8"/>
      <c r="AE48" s="8"/>
      <c r="AF48" s="596"/>
      <c r="AG48" s="596"/>
      <c r="AH48" s="596"/>
      <c r="AI48" s="8"/>
    </row>
    <row r="49" spans="1:35">
      <c r="A49" s="570" t="s">
        <v>231</v>
      </c>
      <c r="B49" s="599">
        <f t="shared" si="17"/>
        <v>0</v>
      </c>
      <c r="C49" s="599">
        <f t="shared" si="17"/>
        <v>0</v>
      </c>
      <c r="D49" s="599">
        <f t="shared" si="17"/>
        <v>0</v>
      </c>
      <c r="E49" s="599">
        <f t="shared" si="17"/>
        <v>0</v>
      </c>
      <c r="F49" s="599">
        <f t="shared" si="17"/>
        <v>0</v>
      </c>
      <c r="G49" s="599">
        <f t="shared" si="17"/>
        <v>14922321.178529704</v>
      </c>
      <c r="H49" s="599">
        <f t="shared" si="17"/>
        <v>0</v>
      </c>
      <c r="I49" s="599">
        <f t="shared" ref="I49" si="24">I30*I$38</f>
        <v>0</v>
      </c>
      <c r="J49" s="599">
        <f t="shared" ref="J49:M49" si="25">J30*J$38</f>
        <v>0</v>
      </c>
      <c r="K49" s="599">
        <f t="shared" si="25"/>
        <v>0</v>
      </c>
      <c r="L49" s="599">
        <f t="shared" si="25"/>
        <v>0</v>
      </c>
      <c r="M49" s="599">
        <f t="shared" si="25"/>
        <v>0</v>
      </c>
      <c r="N49" s="599">
        <f t="shared" si="17"/>
        <v>0</v>
      </c>
      <c r="O49" s="599">
        <f t="shared" si="17"/>
        <v>3324102.5264990646</v>
      </c>
      <c r="P49" s="599">
        <f t="shared" si="17"/>
        <v>0</v>
      </c>
      <c r="Q49" s="621">
        <f t="shared" si="17"/>
        <v>0</v>
      </c>
      <c r="R49" s="602">
        <f t="shared" si="14"/>
        <v>20113.239233972086</v>
      </c>
      <c r="S49" s="69"/>
      <c r="T49" s="865"/>
      <c r="U49" s="8"/>
      <c r="V49" s="8"/>
      <c r="W49" s="8"/>
      <c r="X49" s="8"/>
      <c r="Y49" s="596"/>
      <c r="Z49" s="8"/>
      <c r="AA49" s="620"/>
      <c r="AB49" s="781"/>
      <c r="AC49" s="599"/>
      <c r="AD49" s="599"/>
      <c r="AE49" s="599"/>
      <c r="AF49" s="596"/>
      <c r="AG49" s="596"/>
      <c r="AH49" s="596"/>
      <c r="AI49" s="8"/>
    </row>
    <row r="50" spans="1:35">
      <c r="A50" s="570" t="s">
        <v>237</v>
      </c>
      <c r="B50" s="599">
        <f t="shared" si="17"/>
        <v>0</v>
      </c>
      <c r="C50" s="599">
        <f t="shared" si="17"/>
        <v>0</v>
      </c>
      <c r="D50" s="599">
        <f t="shared" si="17"/>
        <v>0</v>
      </c>
      <c r="E50" s="599">
        <f t="shared" si="17"/>
        <v>0</v>
      </c>
      <c r="F50" s="599">
        <f t="shared" si="17"/>
        <v>0</v>
      </c>
      <c r="G50" s="599">
        <f t="shared" si="17"/>
        <v>0</v>
      </c>
      <c r="H50" s="599">
        <f t="shared" si="17"/>
        <v>0</v>
      </c>
      <c r="I50" s="599">
        <f t="shared" ref="I50" si="26">I31*I$38</f>
        <v>0</v>
      </c>
      <c r="J50" s="599">
        <f t="shared" ref="J50:M50" si="27">J31*J$38</f>
        <v>0</v>
      </c>
      <c r="K50" s="599">
        <f t="shared" si="27"/>
        <v>0</v>
      </c>
      <c r="L50" s="599">
        <f t="shared" si="27"/>
        <v>0</v>
      </c>
      <c r="M50" s="599">
        <f t="shared" si="27"/>
        <v>0</v>
      </c>
      <c r="N50" s="599">
        <f t="shared" si="17"/>
        <v>0</v>
      </c>
      <c r="O50" s="599">
        <f t="shared" si="17"/>
        <v>0</v>
      </c>
      <c r="P50" s="599">
        <f t="shared" si="17"/>
        <v>0</v>
      </c>
      <c r="Q50" s="621">
        <f t="shared" si="17"/>
        <v>0</v>
      </c>
      <c r="R50" s="602">
        <f t="shared" si="14"/>
        <v>0</v>
      </c>
      <c r="S50" s="69"/>
      <c r="T50" s="865"/>
      <c r="U50" s="8"/>
      <c r="V50" s="8"/>
      <c r="W50" s="8"/>
      <c r="X50" s="8"/>
      <c r="Y50" s="596"/>
      <c r="Z50" s="8"/>
      <c r="AA50" s="620"/>
      <c r="AB50" s="781"/>
      <c r="AC50" s="599"/>
      <c r="AD50" s="599"/>
      <c r="AE50" s="599"/>
      <c r="AF50" s="596"/>
      <c r="AG50" s="596"/>
      <c r="AH50" s="596"/>
      <c r="AI50" s="8"/>
    </row>
    <row r="51" spans="1:35">
      <c r="A51" s="570" t="s">
        <v>966</v>
      </c>
      <c r="B51" s="599"/>
      <c r="C51" s="599"/>
      <c r="D51" s="599">
        <f t="shared" si="17"/>
        <v>183112671.79102036</v>
      </c>
      <c r="E51" s="599">
        <f t="shared" si="17"/>
        <v>183112671.79102036</v>
      </c>
      <c r="F51" s="599"/>
      <c r="G51" s="599"/>
      <c r="H51" s="599"/>
      <c r="I51" s="599"/>
      <c r="J51" s="599"/>
      <c r="K51" s="599"/>
      <c r="L51" s="599"/>
      <c r="M51" s="599"/>
      <c r="N51" s="599"/>
      <c r="O51" s="599"/>
      <c r="P51" s="599"/>
      <c r="Q51" s="621"/>
      <c r="R51" s="602">
        <f t="shared" si="14"/>
        <v>403694.33857765369</v>
      </c>
      <c r="S51" s="621">
        <f>R51*Feed_Composition!D25*Feed_Composition!E25*2000</f>
        <v>706465.09251089406</v>
      </c>
      <c r="T51" s="865"/>
      <c r="U51" s="8"/>
      <c r="V51" s="8"/>
      <c r="W51" s="8"/>
      <c r="X51" s="8"/>
      <c r="Y51" s="596"/>
      <c r="Z51" s="866"/>
      <c r="AA51" s="8"/>
      <c r="AB51" s="8"/>
      <c r="AC51" s="599"/>
      <c r="AD51" s="8"/>
      <c r="AE51" s="8"/>
      <c r="AF51" s="596"/>
      <c r="AG51" s="596"/>
      <c r="AH51" s="596"/>
      <c r="AI51" s="8"/>
    </row>
    <row r="52" spans="1:35">
      <c r="A52" s="570" t="s">
        <v>474</v>
      </c>
      <c r="B52" s="599">
        <f t="shared" ref="B52:Q54" si="28">B33*B$38</f>
        <v>728309594.25275075</v>
      </c>
      <c r="C52" s="599">
        <f t="shared" si="28"/>
        <v>32001281.999157626</v>
      </c>
      <c r="D52" s="599">
        <f t="shared" si="28"/>
        <v>16120769.090475516</v>
      </c>
      <c r="E52" s="599">
        <f t="shared" si="28"/>
        <v>15957845.129855515</v>
      </c>
      <c r="F52" s="599">
        <f t="shared" si="28"/>
        <v>17634962.129148155</v>
      </c>
      <c r="G52" s="599">
        <f t="shared" si="28"/>
        <v>0</v>
      </c>
      <c r="H52" s="599">
        <f t="shared" si="28"/>
        <v>0</v>
      </c>
      <c r="I52" s="599">
        <f t="shared" ref="I52" si="29">I33*I$38</f>
        <v>0</v>
      </c>
      <c r="J52" s="599">
        <f t="shared" ref="J52:M52" si="30">J33*J$38</f>
        <v>0</v>
      </c>
      <c r="K52" s="599">
        <f t="shared" si="30"/>
        <v>0</v>
      </c>
      <c r="L52" s="599">
        <f t="shared" si="30"/>
        <v>0</v>
      </c>
      <c r="M52" s="599">
        <f t="shared" si="30"/>
        <v>0</v>
      </c>
      <c r="N52" s="599">
        <f t="shared" si="28"/>
        <v>0</v>
      </c>
      <c r="O52" s="599">
        <f t="shared" si="28"/>
        <v>0</v>
      </c>
      <c r="P52" s="599">
        <f t="shared" si="28"/>
        <v>0</v>
      </c>
      <c r="Q52" s="621">
        <f t="shared" si="28"/>
        <v>96030803.065023825</v>
      </c>
      <c r="R52" s="602">
        <f t="shared" si="14"/>
        <v>998754.95664357336</v>
      </c>
      <c r="S52" s="621">
        <f>R52*2000*Feed_Composition!E23</f>
        <v>5992529.7398614408</v>
      </c>
      <c r="T52" s="865"/>
      <c r="U52" s="8"/>
      <c r="V52" s="8"/>
      <c r="W52" s="8"/>
      <c r="X52" s="8"/>
      <c r="Y52" s="596"/>
      <c r="Z52" s="8"/>
      <c r="AA52" s="8"/>
      <c r="AB52" s="8"/>
      <c r="AC52" s="8"/>
      <c r="AD52" s="8"/>
      <c r="AE52" s="8"/>
      <c r="AF52" s="596"/>
      <c r="AG52" s="596"/>
      <c r="AH52" s="596"/>
      <c r="AI52" s="8"/>
    </row>
    <row r="53" spans="1:35">
      <c r="A53" s="570" t="s">
        <v>475</v>
      </c>
      <c r="B53" s="599">
        <f t="shared" si="28"/>
        <v>674935628.11808586</v>
      </c>
      <c r="C53" s="599">
        <f t="shared" si="28"/>
        <v>24195444.428644873</v>
      </c>
      <c r="D53" s="599">
        <f t="shared" si="28"/>
        <v>97520601.389619932</v>
      </c>
      <c r="E53" s="599">
        <f t="shared" si="28"/>
        <v>99154401.225250468</v>
      </c>
      <c r="F53" s="599">
        <f t="shared" si="28"/>
        <v>106680525.14527842</v>
      </c>
      <c r="G53" s="599">
        <f t="shared" si="28"/>
        <v>0</v>
      </c>
      <c r="H53" s="599">
        <f t="shared" si="28"/>
        <v>0</v>
      </c>
      <c r="I53" s="599">
        <f t="shared" ref="I53" si="31">I34*I$38</f>
        <v>0</v>
      </c>
      <c r="J53" s="599">
        <f t="shared" ref="J53:M53" si="32">J34*J$38</f>
        <v>0</v>
      </c>
      <c r="K53" s="599">
        <f t="shared" si="32"/>
        <v>0</v>
      </c>
      <c r="L53" s="599">
        <f t="shared" si="32"/>
        <v>0</v>
      </c>
      <c r="M53" s="599">
        <f t="shared" si="32"/>
        <v>0</v>
      </c>
      <c r="N53" s="599">
        <f t="shared" si="28"/>
        <v>0</v>
      </c>
      <c r="O53" s="599">
        <f t="shared" si="28"/>
        <v>0</v>
      </c>
      <c r="P53" s="599">
        <f t="shared" si="28"/>
        <v>0</v>
      </c>
      <c r="Q53" s="621">
        <f t="shared" si="28"/>
        <v>48575845.115451388</v>
      </c>
      <c r="R53" s="602">
        <f t="shared" si="14"/>
        <v>1158598.0220768824</v>
      </c>
      <c r="S53" s="621">
        <f>R53*2000*Feed_Composition!E24</f>
        <v>11585980.220768824</v>
      </c>
      <c r="T53" s="865"/>
      <c r="U53" s="8"/>
      <c r="V53" s="8"/>
      <c r="W53" s="8"/>
      <c r="X53" s="8"/>
      <c r="Y53" s="596"/>
      <c r="Z53" s="8"/>
      <c r="AA53" s="8"/>
      <c r="AB53" s="8"/>
      <c r="AC53" s="8"/>
      <c r="AD53" s="8"/>
      <c r="AE53" s="8"/>
      <c r="AF53" s="596"/>
      <c r="AG53" s="596"/>
      <c r="AH53" s="596"/>
      <c r="AI53" s="8"/>
    </row>
    <row r="54" spans="1:35" ht="15" thickBot="1">
      <c r="A54" s="571" t="s">
        <v>306</v>
      </c>
      <c r="B54" s="641"/>
      <c r="C54" s="641"/>
      <c r="D54" s="641"/>
      <c r="E54" s="641"/>
      <c r="F54" s="641">
        <f t="shared" si="28"/>
        <v>6739472.3611454349</v>
      </c>
      <c r="G54" s="641"/>
      <c r="H54" s="641"/>
      <c r="I54" s="641"/>
      <c r="J54" s="641"/>
      <c r="K54" s="641"/>
      <c r="L54" s="641"/>
      <c r="M54" s="641"/>
      <c r="N54" s="641"/>
      <c r="O54" s="641"/>
      <c r="P54" s="641"/>
      <c r="Q54" s="622"/>
      <c r="R54" s="602">
        <f t="shared" si="14"/>
        <v>7428.9966133529042</v>
      </c>
      <c r="S54" s="621">
        <f>R54*2000*Feed_Composition!E2</f>
        <v>104005.95258694065</v>
      </c>
      <c r="T54" s="865"/>
      <c r="U54" s="8"/>
      <c r="V54" s="8"/>
      <c r="W54" s="8"/>
      <c r="X54" s="8"/>
      <c r="Y54" s="596"/>
      <c r="Z54" s="8"/>
      <c r="AA54" s="8"/>
      <c r="AB54" s="8"/>
      <c r="AC54" s="8"/>
      <c r="AD54" s="8"/>
      <c r="AE54" s="8"/>
      <c r="AF54" s="596"/>
      <c r="AG54" s="596"/>
      <c r="AH54" s="596"/>
      <c r="AI54" s="8"/>
    </row>
    <row r="55" spans="1:35">
      <c r="R55" s="1047">
        <f>SUM(R41:R53)</f>
        <v>3918929.0760902627</v>
      </c>
      <c r="S55" s="779">
        <f>SUM(S41:S54)</f>
        <v>28579462.358793855</v>
      </c>
      <c r="T55" s="1048" t="s">
        <v>773</v>
      </c>
      <c r="U55" s="8"/>
      <c r="V55" s="8"/>
      <c r="W55" s="8"/>
      <c r="X55" s="8"/>
      <c r="Y55" s="596"/>
      <c r="Z55" s="866"/>
      <c r="AA55" s="8"/>
      <c r="AB55" s="8"/>
      <c r="AC55" s="8"/>
      <c r="AD55" s="8"/>
      <c r="AE55" s="8"/>
      <c r="AF55" s="596"/>
      <c r="AG55" s="596"/>
    </row>
    <row r="56" spans="1:35">
      <c r="R56" s="1074"/>
      <c r="S56" s="1076">
        <f>S55-S51</f>
        <v>27872997.266282961</v>
      </c>
      <c r="T56" s="1075" t="s">
        <v>494</v>
      </c>
      <c r="U56" s="8"/>
      <c r="V56" s="8"/>
      <c r="W56" s="8"/>
      <c r="X56" s="8"/>
      <c r="Y56" s="596"/>
      <c r="Z56" s="866"/>
      <c r="AA56" s="8"/>
      <c r="AB56" s="8"/>
      <c r="AC56" s="8"/>
      <c r="AD56" s="8"/>
      <c r="AE56" s="8"/>
      <c r="AF56" s="596"/>
      <c r="AG56" s="596"/>
    </row>
    <row r="57" spans="1:35" ht="15" thickBot="1">
      <c r="R57" s="938" t="s">
        <v>774</v>
      </c>
      <c r="S57" s="1049" t="s">
        <v>348</v>
      </c>
      <c r="T57" s="939"/>
      <c r="Y57" s="623"/>
      <c r="Z57" s="350"/>
      <c r="AF57" s="596"/>
      <c r="AG57" s="596"/>
    </row>
    <row r="58" spans="1:35">
      <c r="T58" s="569"/>
    </row>
    <row r="59" spans="1:35">
      <c r="T59" s="569"/>
    </row>
    <row r="60" spans="1:35">
      <c r="T60" s="569"/>
    </row>
  </sheetData>
  <sheetProtection password="A4FF" sheet="1" objects="1" scenarios="1"/>
  <mergeCells count="6">
    <mergeCell ref="U5:AG7"/>
    <mergeCell ref="R37:R38"/>
    <mergeCell ref="S37:S38"/>
    <mergeCell ref="B39:Q39"/>
    <mergeCell ref="U13:AG16"/>
    <mergeCell ref="U8:AG9"/>
  </mergeCells>
  <pageMargins left="0.7" right="0.7" top="0.75" bottom="0.75" header="0.3" footer="0.3"/>
  <pageSetup scale="24" orientation="landscape"/>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theme="6" tint="-0.249977111117893"/>
  </sheetPr>
  <dimension ref="A1:W53"/>
  <sheetViews>
    <sheetView workbookViewId="0">
      <selection activeCell="B34" sqref="B34"/>
    </sheetView>
  </sheetViews>
  <sheetFormatPr baseColWidth="10" defaultColWidth="8.83203125" defaultRowHeight="14" x14ac:dyDescent="0"/>
  <cols>
    <col min="1" max="1" width="22.33203125" style="63" customWidth="1"/>
    <col min="2" max="3" width="18.6640625" style="575" customWidth="1"/>
    <col min="4" max="6" width="14.5" style="63" customWidth="1"/>
    <col min="7" max="7" width="15.5" style="575" customWidth="1"/>
    <col min="8" max="8" width="15.1640625" style="63" customWidth="1"/>
    <col min="9" max="9" width="16.5" style="63" customWidth="1"/>
    <col min="10" max="16384" width="8.83203125" style="63"/>
  </cols>
  <sheetData>
    <row r="1" spans="1:23" ht="19" thickBot="1">
      <c r="A1" s="948" t="s">
        <v>815</v>
      </c>
    </row>
    <row r="3" spans="1:23">
      <c r="D3" s="644"/>
    </row>
    <row r="4" spans="1:23" ht="15" thickBot="1">
      <c r="D4" s="644"/>
    </row>
    <row r="5" spans="1:23" ht="43.5" customHeight="1" thickBot="1">
      <c r="A5" s="574" t="s">
        <v>334</v>
      </c>
      <c r="B5" s="835" t="s">
        <v>490</v>
      </c>
      <c r="C5" s="835" t="s">
        <v>491</v>
      </c>
      <c r="D5" s="835" t="s">
        <v>183</v>
      </c>
      <c r="E5" s="835" t="s">
        <v>337</v>
      </c>
      <c r="F5" s="835" t="s">
        <v>337</v>
      </c>
      <c r="G5" s="835" t="s">
        <v>335</v>
      </c>
      <c r="H5" s="837" t="s">
        <v>357</v>
      </c>
      <c r="I5" s="838" t="s">
        <v>358</v>
      </c>
    </row>
    <row r="6" spans="1:23" ht="16">
      <c r="A6" s="794"/>
      <c r="B6" s="795" t="s">
        <v>184</v>
      </c>
      <c r="C6" s="795"/>
      <c r="D6" s="1304" t="s">
        <v>339</v>
      </c>
      <c r="E6" s="1304"/>
      <c r="F6" s="902" t="s">
        <v>340</v>
      </c>
      <c r="G6" s="795" t="s">
        <v>930</v>
      </c>
      <c r="H6" s="902" t="s">
        <v>359</v>
      </c>
      <c r="I6" s="797" t="s">
        <v>359</v>
      </c>
      <c r="J6" s="575"/>
      <c r="L6" s="718" t="s">
        <v>650</v>
      </c>
      <c r="M6" s="719"/>
      <c r="N6" s="719"/>
      <c r="O6" s="719"/>
      <c r="P6" s="719"/>
      <c r="Q6" s="719"/>
      <c r="R6" s="719"/>
      <c r="S6" s="719"/>
      <c r="T6" s="719"/>
      <c r="U6" s="719"/>
      <c r="V6" s="719"/>
      <c r="W6" s="699"/>
    </row>
    <row r="7" spans="1:23">
      <c r="A7" s="794"/>
      <c r="B7" s="798"/>
      <c r="C7" s="798"/>
      <c r="D7" s="682"/>
      <c r="E7" s="682"/>
      <c r="F7" s="682"/>
      <c r="G7" s="746"/>
      <c r="H7" s="682"/>
      <c r="I7" s="799"/>
      <c r="J7" s="575"/>
      <c r="L7" s="1288" t="s">
        <v>797</v>
      </c>
      <c r="M7" s="1321"/>
      <c r="N7" s="1321"/>
      <c r="O7" s="1321"/>
      <c r="P7" s="1321"/>
      <c r="Q7" s="1321"/>
      <c r="R7" s="1321"/>
      <c r="S7" s="1321"/>
      <c r="T7" s="1321"/>
      <c r="U7" s="1321"/>
      <c r="V7" s="1321"/>
      <c r="W7" s="1322"/>
    </row>
    <row r="8" spans="1:23">
      <c r="A8" s="800" t="s">
        <v>483</v>
      </c>
      <c r="B8" s="801"/>
      <c r="C8" s="801"/>
      <c r="D8" s="802"/>
      <c r="E8" s="802"/>
      <c r="F8" s="802"/>
      <c r="G8" s="803"/>
      <c r="H8" s="802"/>
      <c r="I8" s="804"/>
      <c r="J8" s="575"/>
      <c r="L8" s="1288"/>
      <c r="M8" s="1321"/>
      <c r="N8" s="1321"/>
      <c r="O8" s="1321"/>
      <c r="P8" s="1321"/>
      <c r="Q8" s="1321"/>
      <c r="R8" s="1321"/>
      <c r="S8" s="1321"/>
      <c r="T8" s="1321"/>
      <c r="U8" s="1321"/>
      <c r="V8" s="1321"/>
      <c r="W8" s="1322"/>
    </row>
    <row r="9" spans="1:23">
      <c r="A9" s="594" t="s">
        <v>488</v>
      </c>
      <c r="B9" s="682">
        <v>537</v>
      </c>
      <c r="C9" s="682">
        <v>214</v>
      </c>
      <c r="D9" s="783">
        <v>2.5999999999999999E-2</v>
      </c>
      <c r="E9" s="783">
        <v>45.13</v>
      </c>
      <c r="F9" s="783"/>
      <c r="G9" s="808">
        <f>BeefHerd!B26/2</f>
        <v>187646.20408163263</v>
      </c>
      <c r="H9" s="676">
        <f>C9*D9*G9</f>
        <v>1044063.4795102039</v>
      </c>
      <c r="I9" s="809">
        <f t="shared" ref="I9:I14" si="0">C9*E9*G9</f>
        <v>1812253262.7036731</v>
      </c>
      <c r="L9" s="1288"/>
      <c r="M9" s="1321"/>
      <c r="N9" s="1321"/>
      <c r="O9" s="1321"/>
      <c r="P9" s="1321"/>
      <c r="Q9" s="1321"/>
      <c r="R9" s="1321"/>
      <c r="S9" s="1321"/>
      <c r="T9" s="1321"/>
      <c r="U9" s="1321"/>
      <c r="V9" s="1321"/>
      <c r="W9" s="1322"/>
    </row>
    <row r="10" spans="1:23">
      <c r="A10" s="810" t="s">
        <v>489</v>
      </c>
      <c r="B10" s="682">
        <v>497</v>
      </c>
      <c r="C10" s="682">
        <v>214</v>
      </c>
      <c r="D10" s="646">
        <v>2.7199999999999998E-2</v>
      </c>
      <c r="E10" s="646">
        <v>45.16</v>
      </c>
      <c r="F10" s="783"/>
      <c r="G10" s="808">
        <f>G9</f>
        <v>187646.20408163263</v>
      </c>
      <c r="H10" s="676">
        <f>C10*D10*G10</f>
        <v>1092251.024718367</v>
      </c>
      <c r="I10" s="809">
        <f t="shared" si="0"/>
        <v>1813457951.3338773</v>
      </c>
      <c r="L10" s="1288"/>
      <c r="M10" s="1321"/>
      <c r="N10" s="1321"/>
      <c r="O10" s="1321"/>
      <c r="P10" s="1321"/>
      <c r="Q10" s="1321"/>
      <c r="R10" s="1321"/>
      <c r="S10" s="1321"/>
      <c r="T10" s="1321"/>
      <c r="U10" s="1321"/>
      <c r="V10" s="1321"/>
      <c r="W10" s="1322"/>
    </row>
    <row r="11" spans="1:23">
      <c r="A11" s="594" t="s">
        <v>5</v>
      </c>
      <c r="B11" s="682">
        <v>754</v>
      </c>
      <c r="C11" s="682">
        <v>273</v>
      </c>
      <c r="D11" s="783">
        <v>5.3100000000000001E-2</v>
      </c>
      <c r="E11" s="783">
        <v>93.75</v>
      </c>
      <c r="F11" s="783"/>
      <c r="G11" s="808">
        <f>BeefHerd!B32</f>
        <v>74714.964554242732</v>
      </c>
      <c r="H11" s="676">
        <f>C11*D11*G11</f>
        <v>1083090.5406676689</v>
      </c>
      <c r="I11" s="809">
        <f t="shared" si="0"/>
        <v>1912236124.0601499</v>
      </c>
      <c r="L11" s="721"/>
      <c r="M11" s="725" t="s">
        <v>729</v>
      </c>
      <c r="N11" s="698"/>
      <c r="O11" s="698"/>
      <c r="P11" s="698"/>
      <c r="Q11" s="698"/>
      <c r="R11" s="698"/>
      <c r="S11" s="698"/>
      <c r="T11" s="698"/>
      <c r="U11" s="698"/>
      <c r="V11" s="698"/>
      <c r="W11" s="700"/>
    </row>
    <row r="12" spans="1:23">
      <c r="A12" s="594" t="s">
        <v>3</v>
      </c>
      <c r="B12" s="682">
        <v>1250</v>
      </c>
      <c r="C12" s="682">
        <v>365</v>
      </c>
      <c r="D12" s="783">
        <v>6.8599999999999994E-2</v>
      </c>
      <c r="E12" s="783">
        <v>77.52</v>
      </c>
      <c r="F12" s="783"/>
      <c r="G12" s="808">
        <f>BeefHerd!B25</f>
        <v>429396.34801288933</v>
      </c>
      <c r="H12" s="676">
        <f>C12*D12*G12</f>
        <v>10751655.157894734</v>
      </c>
      <c r="I12" s="809">
        <f t="shared" si="0"/>
        <v>12149683787.7551</v>
      </c>
      <c r="L12" s="721"/>
      <c r="M12" s="725" t="s">
        <v>728</v>
      </c>
      <c r="N12" s="698"/>
      <c r="O12" s="698"/>
      <c r="P12" s="698"/>
      <c r="Q12" s="698"/>
      <c r="R12" s="698"/>
      <c r="S12" s="698"/>
      <c r="T12" s="698"/>
      <c r="U12" s="698"/>
      <c r="V12" s="698"/>
      <c r="W12" s="700"/>
    </row>
    <row r="13" spans="1:23">
      <c r="A13" s="594" t="s">
        <v>112</v>
      </c>
      <c r="B13" s="682">
        <v>1800</v>
      </c>
      <c r="C13" s="682">
        <v>365</v>
      </c>
      <c r="D13" s="783">
        <v>5.8000000000000003E-2</v>
      </c>
      <c r="E13" s="783">
        <v>47.52</v>
      </c>
      <c r="F13" s="783"/>
      <c r="G13" s="808">
        <f>BeefHerd!B33</f>
        <v>17891.514500537054</v>
      </c>
      <c r="H13" s="676">
        <f>C13*D13*G13</f>
        <v>378763.36197636946</v>
      </c>
      <c r="I13" s="809">
        <f t="shared" si="0"/>
        <v>310324740.70891517</v>
      </c>
      <c r="L13" s="839"/>
      <c r="M13" s="698"/>
      <c r="N13" s="698"/>
      <c r="O13" s="698"/>
      <c r="P13" s="698"/>
      <c r="Q13" s="698"/>
      <c r="R13" s="698"/>
      <c r="S13" s="698"/>
      <c r="T13" s="698"/>
      <c r="U13" s="698"/>
      <c r="V13" s="698"/>
      <c r="W13" s="700"/>
    </row>
    <row r="14" spans="1:23" ht="16">
      <c r="A14" s="594" t="s">
        <v>495</v>
      </c>
      <c r="B14" s="682">
        <v>537</v>
      </c>
      <c r="C14" s="682">
        <v>214</v>
      </c>
      <c r="D14" s="783">
        <v>1.9800000000000002E-2</v>
      </c>
      <c r="E14" s="783">
        <v>40.229999999999997</v>
      </c>
      <c r="F14" s="783"/>
      <c r="G14" s="808">
        <f>BeefHerd!B34</f>
        <v>205271.45349492674</v>
      </c>
      <c r="H14" s="676">
        <f>G14*D14*C14</f>
        <v>869776.20274870365</v>
      </c>
      <c r="I14" s="809">
        <f t="shared" si="0"/>
        <v>1767227102.8575931</v>
      </c>
      <c r="L14" s="839" t="s">
        <v>928</v>
      </c>
      <c r="M14" s="698"/>
      <c r="N14" s="698"/>
      <c r="O14" s="698"/>
      <c r="P14" s="698"/>
      <c r="Q14" s="698"/>
      <c r="R14" s="698"/>
      <c r="S14" s="698"/>
      <c r="T14" s="698"/>
      <c r="U14" s="698"/>
      <c r="V14" s="698"/>
      <c r="W14" s="700"/>
    </row>
    <row r="15" spans="1:23" ht="15" thickBot="1">
      <c r="A15" s="594"/>
      <c r="B15" s="682"/>
      <c r="C15" s="682"/>
      <c r="D15" s="783"/>
      <c r="E15" s="783"/>
      <c r="F15" s="783"/>
      <c r="G15" s="808"/>
      <c r="H15" s="676"/>
      <c r="I15" s="809"/>
      <c r="L15" s="702"/>
      <c r="M15" s="703"/>
      <c r="N15" s="703"/>
      <c r="O15" s="703"/>
      <c r="P15" s="703"/>
      <c r="Q15" s="703"/>
      <c r="R15" s="703"/>
      <c r="S15" s="703"/>
      <c r="T15" s="703"/>
      <c r="U15" s="703"/>
      <c r="V15" s="703"/>
      <c r="W15" s="704"/>
    </row>
    <row r="16" spans="1:23">
      <c r="A16" s="800" t="s">
        <v>492</v>
      </c>
      <c r="B16" s="802"/>
      <c r="C16" s="802"/>
      <c r="D16" s="812"/>
      <c r="E16" s="812"/>
      <c r="F16" s="812"/>
      <c r="G16" s="813"/>
      <c r="H16" s="669"/>
      <c r="I16" s="814"/>
    </row>
    <row r="17" spans="1:12">
      <c r="A17" s="810" t="s">
        <v>501</v>
      </c>
      <c r="B17" s="682">
        <v>600</v>
      </c>
      <c r="C17" s="682">
        <v>61</v>
      </c>
      <c r="D17" s="783">
        <v>4.4999999999999998E-2</v>
      </c>
      <c r="E17" s="783">
        <v>64.44</v>
      </c>
      <c r="F17" s="783"/>
      <c r="G17" s="808">
        <f>Beef_Nutrient!K38</f>
        <v>0</v>
      </c>
      <c r="H17" s="676">
        <f t="shared" ref="H17:H19" si="1">C17*D17*G17</f>
        <v>0</v>
      </c>
      <c r="I17" s="809">
        <f t="shared" ref="I17:I19" si="2">C17*E17*G17</f>
        <v>0</v>
      </c>
      <c r="L17"/>
    </row>
    <row r="18" spans="1:12">
      <c r="A18" s="810" t="s">
        <v>500</v>
      </c>
      <c r="B18" s="682">
        <v>1071</v>
      </c>
      <c r="C18" s="682">
        <v>365</v>
      </c>
      <c r="D18" s="783">
        <v>6.6799999999999998E-2</v>
      </c>
      <c r="E18" s="783">
        <v>76.569999999999993</v>
      </c>
      <c r="F18" s="783"/>
      <c r="G18" s="808">
        <f>Beef_Nutrient!J38</f>
        <v>0</v>
      </c>
      <c r="H18" s="676">
        <f t="shared" si="1"/>
        <v>0</v>
      </c>
      <c r="I18" s="809">
        <f t="shared" si="2"/>
        <v>0</v>
      </c>
      <c r="L18"/>
    </row>
    <row r="19" spans="1:12">
      <c r="A19" s="810" t="s">
        <v>499</v>
      </c>
      <c r="B19" s="682">
        <v>1244</v>
      </c>
      <c r="C19" s="682">
        <v>151</v>
      </c>
      <c r="D19" s="783">
        <v>8.3400000000000002E-2</v>
      </c>
      <c r="E19" s="783">
        <v>107.22</v>
      </c>
      <c r="F19" s="783"/>
      <c r="G19" s="808">
        <f>Beef_Nutrient!I38</f>
        <v>0</v>
      </c>
      <c r="H19" s="676">
        <f t="shared" si="1"/>
        <v>0</v>
      </c>
      <c r="I19" s="809">
        <f t="shared" si="2"/>
        <v>0</v>
      </c>
      <c r="L19"/>
    </row>
    <row r="20" spans="1:12">
      <c r="A20" s="594" t="s">
        <v>484</v>
      </c>
      <c r="B20" s="682">
        <v>683</v>
      </c>
      <c r="C20" s="682">
        <v>61</v>
      </c>
      <c r="D20" s="783">
        <v>1.6717669235689601E-2</v>
      </c>
      <c r="E20" s="783">
        <v>67.040290260546911</v>
      </c>
      <c r="F20" s="783"/>
      <c r="G20" s="808">
        <f>BeefHerd!B28+BeefHerd!B34</f>
        <v>390290.61071941652</v>
      </c>
      <c r="H20" s="676">
        <f t="shared" ref="H20:H21" si="3">C20*D20*G20</f>
        <v>398009.7094839522</v>
      </c>
      <c r="I20" s="809">
        <f t="shared" ref="I20:I21" si="4">C20*E20*G20</f>
        <v>1596076945.5443442</v>
      </c>
      <c r="L20"/>
    </row>
    <row r="21" spans="1:12">
      <c r="A21" s="594" t="s">
        <v>484</v>
      </c>
      <c r="B21" s="682">
        <v>758</v>
      </c>
      <c r="C21" s="682">
        <v>31</v>
      </c>
      <c r="D21" s="783">
        <v>3.4645961101443357E-2</v>
      </c>
      <c r="E21" s="783">
        <v>112.18792000000002</v>
      </c>
      <c r="F21" s="783"/>
      <c r="G21" s="808">
        <f>G20</f>
        <v>390290.61071941652</v>
      </c>
      <c r="H21" s="676">
        <f t="shared" si="3"/>
        <v>419181.79283454776</v>
      </c>
      <c r="I21" s="809">
        <f t="shared" si="4"/>
        <v>1357362646.1763728</v>
      </c>
      <c r="L21"/>
    </row>
    <row r="22" spans="1:12">
      <c r="A22" s="594" t="s">
        <v>485</v>
      </c>
      <c r="B22" s="682">
        <v>1354</v>
      </c>
      <c r="C22" s="682">
        <v>181</v>
      </c>
      <c r="D22" s="783">
        <v>8.4017978509368013E-2</v>
      </c>
      <c r="E22" s="783">
        <v>81.620519999999985</v>
      </c>
      <c r="F22" s="783"/>
      <c r="G22" s="808">
        <f>G21</f>
        <v>390290.61071941652</v>
      </c>
      <c r="H22" s="676">
        <f>C22*D22*G22</f>
        <v>5935248.4940336021</v>
      </c>
      <c r="I22" s="809">
        <f>C22*E22*G22</f>
        <v>5765885790.2445784</v>
      </c>
    </row>
    <row r="23" spans="1:12">
      <c r="A23" s="594"/>
      <c r="B23" s="682"/>
      <c r="C23" s="682"/>
      <c r="D23" s="783"/>
      <c r="E23" s="783"/>
      <c r="F23" s="783"/>
      <c r="G23" s="808"/>
      <c r="H23" s="676"/>
      <c r="I23" s="809"/>
    </row>
    <row r="24" spans="1:12">
      <c r="A24" s="800" t="s">
        <v>493</v>
      </c>
      <c r="B24" s="802"/>
      <c r="C24" s="802"/>
      <c r="D24" s="812"/>
      <c r="E24" s="812"/>
      <c r="F24" s="812"/>
      <c r="G24" s="813"/>
      <c r="H24" s="669"/>
      <c r="I24" s="814"/>
    </row>
    <row r="25" spans="1:12">
      <c r="A25" s="810" t="s">
        <v>504</v>
      </c>
      <c r="B25" s="682">
        <v>550</v>
      </c>
      <c r="C25" s="682">
        <v>61</v>
      </c>
      <c r="D25" s="783">
        <v>4.2900000000000001E-2</v>
      </c>
      <c r="E25" s="783">
        <v>60.65</v>
      </c>
      <c r="F25" s="783"/>
      <c r="G25" s="808">
        <f>Beef_Nutrient!N38</f>
        <v>0</v>
      </c>
      <c r="H25" s="676">
        <f t="shared" ref="H25:H27" si="5">C25*D25*G25</f>
        <v>0</v>
      </c>
      <c r="I25" s="809">
        <f t="shared" ref="I25:I27" si="6">C25*E25*G25</f>
        <v>0</v>
      </c>
    </row>
    <row r="26" spans="1:12">
      <c r="A26" s="810" t="s">
        <v>503</v>
      </c>
      <c r="B26" s="682">
        <v>954</v>
      </c>
      <c r="C26" s="682">
        <v>365</v>
      </c>
      <c r="D26" s="783">
        <v>6.2899999999999998E-2</v>
      </c>
      <c r="E26" s="783">
        <v>70.989999999999995</v>
      </c>
      <c r="F26" s="783"/>
      <c r="G26" s="808">
        <f>Beef_Nutrient!M38</f>
        <v>0</v>
      </c>
      <c r="H26" s="676">
        <f t="shared" si="5"/>
        <v>0</v>
      </c>
      <c r="I26" s="809">
        <f t="shared" si="6"/>
        <v>0</v>
      </c>
    </row>
    <row r="27" spans="1:12">
      <c r="A27" s="810" t="s">
        <v>502</v>
      </c>
      <c r="B27" s="682">
        <v>1101</v>
      </c>
      <c r="C27" s="682">
        <v>151</v>
      </c>
      <c r="D27" s="783">
        <v>7.6999999999999999E-2</v>
      </c>
      <c r="E27" s="783">
        <v>98.03</v>
      </c>
      <c r="F27" s="783"/>
      <c r="G27" s="808">
        <f>Beef_Nutrient!L38</f>
        <v>0</v>
      </c>
      <c r="H27" s="676">
        <f t="shared" si="5"/>
        <v>0</v>
      </c>
      <c r="I27" s="809">
        <f t="shared" si="6"/>
        <v>0</v>
      </c>
    </row>
    <row r="28" spans="1:12">
      <c r="A28" s="810" t="s">
        <v>486</v>
      </c>
      <c r="B28" s="682">
        <v>612</v>
      </c>
      <c r="C28" s="682">
        <v>61</v>
      </c>
      <c r="D28" s="783">
        <v>1.6502421900505271E-2</v>
      </c>
      <c r="E28" s="783">
        <v>61.344373106805662</v>
      </c>
      <c r="F28" s="783"/>
      <c r="G28" s="808">
        <f>BeefHerd!B30</f>
        <v>110304.19267024705</v>
      </c>
      <c r="H28" s="676">
        <f t="shared" ref="H28:H29" si="7">C28*D28*G28</f>
        <v>111037.46581518131</v>
      </c>
      <c r="I28" s="809">
        <f t="shared" ref="I28:I29" si="8">C28*E28*G28</f>
        <v>412759034.57492542</v>
      </c>
    </row>
    <row r="29" spans="1:12">
      <c r="A29" s="594" t="s">
        <v>486</v>
      </c>
      <c r="B29" s="682">
        <v>753</v>
      </c>
      <c r="C29" s="682">
        <v>59</v>
      </c>
      <c r="D29" s="783">
        <v>3.5546355688124108E-2</v>
      </c>
      <c r="E29" s="783">
        <v>104.70005999999998</v>
      </c>
      <c r="F29" s="783"/>
      <c r="G29" s="808">
        <f>G28</f>
        <v>110304.19267024705</v>
      </c>
      <c r="H29" s="676">
        <f t="shared" si="7"/>
        <v>231333.81192633047</v>
      </c>
      <c r="I29" s="809">
        <f t="shared" si="8"/>
        <v>681382479.85875905</v>
      </c>
    </row>
    <row r="30" spans="1:12" ht="15" thickBot="1">
      <c r="A30" s="826" t="s">
        <v>487</v>
      </c>
      <c r="B30" s="827">
        <v>1208</v>
      </c>
      <c r="C30" s="827">
        <v>153</v>
      </c>
      <c r="D30" s="829">
        <v>7.917801164096358E-2</v>
      </c>
      <c r="E30" s="829">
        <v>74.987601751452672</v>
      </c>
      <c r="F30" s="829"/>
      <c r="G30" s="830">
        <f>G29</f>
        <v>110304.19267024705</v>
      </c>
      <c r="H30" s="756">
        <f>C30*D30*G30</f>
        <v>1336250.9976476624</v>
      </c>
      <c r="I30" s="831">
        <f>C30*E30*G30</f>
        <v>1265531371.3352146</v>
      </c>
    </row>
    <row r="31" spans="1:12" ht="15" thickBot="1">
      <c r="F31" s="586" t="s">
        <v>32</v>
      </c>
      <c r="G31" s="1050"/>
      <c r="H31" s="1051">
        <f>SUM(H9:H30)</f>
        <v>23650662.039257325</v>
      </c>
      <c r="I31" s="1051">
        <f>SUM(I9:I30)</f>
        <v>30844181237.153503</v>
      </c>
    </row>
    <row r="32" spans="1:12" ht="15" thickBot="1">
      <c r="G32" s="647"/>
      <c r="H32" s="589">
        <f>H31/I31</f>
        <v>7.6677872748227827E-4</v>
      </c>
      <c r="I32" s="563" t="s">
        <v>365</v>
      </c>
    </row>
    <row r="34" spans="7:7">
      <c r="G34" s="647"/>
    </row>
    <row r="52" spans="2:8">
      <c r="B52" s="63"/>
      <c r="C52" s="63"/>
      <c r="D52" s="575"/>
      <c r="G52" s="63"/>
      <c r="H52" s="575"/>
    </row>
    <row r="53" spans="2:8">
      <c r="B53" s="63"/>
      <c r="C53" s="63"/>
      <c r="D53" s="575"/>
      <c r="G53" s="63"/>
      <c r="H53" s="575"/>
    </row>
  </sheetData>
  <sheetProtection password="A4FF" sheet="1" objects="1" scenarios="1"/>
  <mergeCells count="2">
    <mergeCell ref="D6:E6"/>
    <mergeCell ref="L7:W10"/>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theme="6" tint="-0.249977111117893"/>
  </sheetPr>
  <dimension ref="A1:AB23"/>
  <sheetViews>
    <sheetView workbookViewId="0">
      <selection activeCell="D9" sqref="D9"/>
    </sheetView>
  </sheetViews>
  <sheetFormatPr baseColWidth="10" defaultColWidth="8.83203125" defaultRowHeight="14" x14ac:dyDescent="0"/>
  <cols>
    <col min="1" max="1" width="33" customWidth="1"/>
    <col min="2" max="3" width="27.1640625" customWidth="1"/>
    <col min="4" max="4" width="27.5" customWidth="1"/>
    <col min="5" max="5" width="21.5" customWidth="1"/>
  </cols>
  <sheetData>
    <row r="1" spans="1:28" ht="26.25" customHeight="1" thickBot="1">
      <c r="A1" s="748" t="s">
        <v>815</v>
      </c>
      <c r="B1" s="679" t="s">
        <v>1090</v>
      </c>
      <c r="C1" s="679" t="s">
        <v>699</v>
      </c>
      <c r="D1" s="679" t="s">
        <v>1092</v>
      </c>
    </row>
    <row r="2" spans="1:28">
      <c r="A2" s="876" t="s">
        <v>366</v>
      </c>
      <c r="B2" s="1309" t="s">
        <v>812</v>
      </c>
      <c r="C2" s="1310"/>
      <c r="D2" s="1311"/>
      <c r="K2" s="718" t="s">
        <v>650</v>
      </c>
      <c r="L2" s="719"/>
      <c r="M2" s="719"/>
      <c r="N2" s="719"/>
      <c r="O2" s="719"/>
      <c r="P2" s="719"/>
      <c r="Q2" s="719"/>
      <c r="R2" s="719"/>
      <c r="S2" s="719"/>
      <c r="T2" s="719"/>
      <c r="U2" s="719"/>
      <c r="V2" s="719"/>
      <c r="W2" s="719"/>
      <c r="X2" s="719"/>
      <c r="Y2" s="719"/>
      <c r="Z2" s="719"/>
      <c r="AA2" s="699"/>
      <c r="AB2" s="208"/>
    </row>
    <row r="3" spans="1:28">
      <c r="A3" t="s">
        <v>787</v>
      </c>
      <c r="B3" s="731">
        <f>Beef_Nutrient!S56</f>
        <v>27872997.266282961</v>
      </c>
      <c r="C3" s="731"/>
      <c r="D3" s="731"/>
      <c r="E3" s="676"/>
      <c r="F3" s="8"/>
      <c r="K3" s="721"/>
      <c r="L3" s="698"/>
      <c r="M3" s="698"/>
      <c r="N3" s="698"/>
      <c r="O3" s="698"/>
      <c r="P3" s="698"/>
      <c r="Q3" s="698"/>
      <c r="R3" s="698"/>
      <c r="S3" s="698"/>
      <c r="T3" s="698"/>
      <c r="U3" s="698"/>
      <c r="V3" s="698"/>
      <c r="W3" s="698"/>
      <c r="X3" s="698"/>
      <c r="Y3" s="698"/>
      <c r="Z3" s="698"/>
      <c r="AA3" s="700"/>
      <c r="AB3" s="208"/>
    </row>
    <row r="4" spans="1:28">
      <c r="A4" t="s">
        <v>788</v>
      </c>
      <c r="B4" s="881"/>
      <c r="C4" s="731"/>
      <c r="D4" s="731"/>
      <c r="E4" s="676"/>
      <c r="F4" s="8"/>
      <c r="K4" s="849"/>
      <c r="L4" s="856"/>
      <c r="M4" s="857"/>
      <c r="N4" s="857"/>
      <c r="O4" s="857"/>
      <c r="P4" s="857"/>
      <c r="Q4" s="857"/>
      <c r="R4" s="857"/>
      <c r="S4" s="857"/>
      <c r="T4" s="857"/>
      <c r="U4" s="857"/>
      <c r="V4" s="857"/>
      <c r="W4" s="698"/>
      <c r="X4" s="698"/>
      <c r="Y4" s="698"/>
      <c r="Z4" s="698"/>
      <c r="AA4" s="700"/>
      <c r="AB4" s="208"/>
    </row>
    <row r="5" spans="1:28">
      <c r="A5" t="s">
        <v>360</v>
      </c>
      <c r="B5" s="731"/>
      <c r="C5" s="731">
        <f>BeefManure!H31</f>
        <v>23650662.039257325</v>
      </c>
      <c r="D5" s="731"/>
      <c r="E5" s="676"/>
      <c r="F5" s="8"/>
      <c r="K5" s="849" t="s">
        <v>945</v>
      </c>
      <c r="L5" s="857"/>
      <c r="M5" s="857"/>
      <c r="N5" s="857"/>
      <c r="O5" s="857"/>
      <c r="P5" s="857"/>
      <c r="Q5" s="857"/>
      <c r="R5" s="857"/>
      <c r="S5" s="857"/>
      <c r="T5" s="857"/>
      <c r="U5" s="857"/>
      <c r="V5" s="857"/>
      <c r="W5" s="698"/>
      <c r="X5" s="698"/>
      <c r="Y5" s="698"/>
      <c r="Z5" s="698"/>
      <c r="AA5" s="700"/>
      <c r="AB5" s="208"/>
    </row>
    <row r="6" spans="1:28">
      <c r="A6" t="s">
        <v>495</v>
      </c>
      <c r="B6" s="731">
        <f>(BeefHerd!B34*98*0.008)</f>
        <v>160932.81954002255</v>
      </c>
      <c r="C6" s="731"/>
      <c r="D6" s="731"/>
      <c r="E6" s="676"/>
      <c r="F6" s="8"/>
      <c r="K6" s="721"/>
      <c r="L6" s="857"/>
      <c r="M6" s="857"/>
      <c r="N6" s="857"/>
      <c r="O6" s="857"/>
      <c r="P6" s="857"/>
      <c r="Q6" s="857"/>
      <c r="R6" s="857"/>
      <c r="S6" s="857"/>
      <c r="T6" s="857"/>
      <c r="U6" s="857"/>
      <c r="V6" s="857"/>
      <c r="W6" s="698"/>
      <c r="X6" s="698"/>
      <c r="Y6" s="698"/>
      <c r="Z6" s="698"/>
      <c r="AA6" s="700"/>
      <c r="AB6" s="208"/>
    </row>
    <row r="7" spans="1:28">
      <c r="B7" s="731"/>
      <c r="C7" s="731"/>
      <c r="D7" s="731"/>
      <c r="E7" s="676"/>
      <c r="F7" s="8"/>
      <c r="K7" s="854" t="s">
        <v>947</v>
      </c>
      <c r="L7" s="856"/>
      <c r="M7" s="857"/>
      <c r="N7" s="857"/>
      <c r="O7" s="857"/>
      <c r="P7" s="857"/>
      <c r="Q7" s="857"/>
      <c r="R7" s="857"/>
      <c r="S7" s="857"/>
      <c r="T7" s="857"/>
      <c r="U7" s="857"/>
      <c r="V7" s="857"/>
      <c r="W7" s="698"/>
      <c r="X7" s="698"/>
      <c r="Y7" s="698"/>
      <c r="Z7" s="698"/>
      <c r="AA7" s="700"/>
      <c r="AB7" s="208"/>
    </row>
    <row r="8" spans="1:28">
      <c r="A8" t="s">
        <v>970</v>
      </c>
      <c r="B8" s="731"/>
      <c r="C8" s="731">
        <f>(BeefHerd!B40*0.916*98*0.007)+(BeefHerd!B41*0.898*((BeefManure!B9+BeefManure!B10)/2)*0.007)</f>
        <v>48353.220592340658</v>
      </c>
      <c r="D8" s="731"/>
      <c r="E8" s="676"/>
      <c r="F8" s="8"/>
      <c r="K8" s="721"/>
      <c r="L8" s="855"/>
      <c r="M8" s="855"/>
      <c r="N8" s="855"/>
      <c r="O8" s="855"/>
      <c r="P8" s="855"/>
      <c r="Q8" s="855"/>
      <c r="R8" s="855"/>
      <c r="S8" s="855"/>
      <c r="T8" s="855"/>
      <c r="U8" s="855"/>
      <c r="V8" s="855"/>
      <c r="W8" s="698"/>
      <c r="X8" s="698"/>
      <c r="Y8" s="698"/>
      <c r="Z8" s="698"/>
      <c r="AA8" s="700"/>
      <c r="AB8" s="208"/>
    </row>
    <row r="9" spans="1:28">
      <c r="A9" t="s">
        <v>946</v>
      </c>
      <c r="B9" s="730"/>
      <c r="C9" s="730"/>
      <c r="D9" s="731">
        <f>((((BeefHerd!B28*BeefManure!B22)+(BeefHerd!B29*BeefManure!B19)+(BeefManure!B27*BeefHerd!B31)+(BeefHerd!B34*1212)+(BeefHerd!B30*BeefManure!B30))*0.008)+((BeefHerd!B36*BeefManure!B12)*0.007))</f>
        <v>5545100.3699272992</v>
      </c>
      <c r="E9" s="208"/>
      <c r="F9" s="8"/>
      <c r="K9" s="721" t="s">
        <v>971</v>
      </c>
      <c r="L9" s="905"/>
      <c r="M9" s="855"/>
      <c r="N9" s="855"/>
      <c r="O9" s="855"/>
      <c r="P9" s="855"/>
      <c r="Q9" s="855"/>
      <c r="R9" s="855"/>
      <c r="S9" s="855"/>
      <c r="T9" s="855"/>
      <c r="U9" s="855"/>
      <c r="V9" s="855"/>
      <c r="W9" s="698"/>
      <c r="X9" s="698"/>
      <c r="Y9" s="698"/>
      <c r="Z9" s="698"/>
      <c r="AA9" s="700"/>
      <c r="AB9" s="208"/>
    </row>
    <row r="10" spans="1:28" ht="15" customHeight="1">
      <c r="A10" t="s">
        <v>818</v>
      </c>
      <c r="B10" s="730"/>
      <c r="C10" s="731"/>
      <c r="D10" s="731">
        <f>(BeefHerd!B40*0.04*98*0.007)+(BeefHerd!B41*0.073*((BeefManure!B9+BeefManure!B10)/2)*0.007)</f>
        <v>3352.0715596357095</v>
      </c>
      <c r="E10" s="676"/>
      <c r="F10" s="8"/>
      <c r="K10" s="721"/>
      <c r="L10" s="855" t="s">
        <v>1089</v>
      </c>
      <c r="M10" s="855"/>
      <c r="N10" s="855"/>
      <c r="O10" s="855"/>
      <c r="P10" s="855"/>
      <c r="Q10" s="855"/>
      <c r="R10" s="855"/>
      <c r="S10" s="855"/>
      <c r="T10" s="855"/>
      <c r="U10" s="855"/>
      <c r="V10" s="855"/>
      <c r="W10" s="698"/>
      <c r="X10" s="698"/>
      <c r="Y10" s="698"/>
      <c r="Z10" s="698"/>
      <c r="AA10" s="700"/>
      <c r="AB10" s="208"/>
    </row>
    <row r="11" spans="1:28" ht="15" thickBot="1">
      <c r="A11" t="s">
        <v>974</v>
      </c>
      <c r="B11" s="735"/>
      <c r="C11" s="734">
        <f>(BeefHerd!B40*0.044*98*0.007)+(BeefHerd!B41*0.029*((BeefManure!B9+BeefManure!B10)/2)*0.007)</f>
        <v>1803.612062211447</v>
      </c>
      <c r="D11" s="734"/>
      <c r="E11" s="63"/>
      <c r="K11" s="721"/>
      <c r="L11" s="856" t="s">
        <v>955</v>
      </c>
      <c r="M11" s="855"/>
      <c r="N11" s="855"/>
      <c r="O11" s="855"/>
      <c r="P11" s="855"/>
      <c r="Q11" s="855"/>
      <c r="R11" s="855"/>
      <c r="S11" s="855"/>
      <c r="T11" s="855"/>
      <c r="U11" s="855"/>
      <c r="V11" s="855"/>
      <c r="W11" s="698"/>
      <c r="X11" s="698"/>
      <c r="Y11" s="698"/>
      <c r="Z11" s="698"/>
      <c r="AA11" s="700"/>
      <c r="AB11" s="208"/>
    </row>
    <row r="12" spans="1:28" ht="15" thickBot="1">
      <c r="A12" s="598" t="s">
        <v>376</v>
      </c>
      <c r="B12" s="875">
        <f>(D9+D10)/(B3+B6)</f>
        <v>0.19791917952641391</v>
      </c>
      <c r="C12" s="882"/>
      <c r="D12" s="734">
        <f>B3+B6-C5-D9-C8-D10-C11</f>
        <v>-1215341.2275758276</v>
      </c>
      <c r="E12" s="336" t="s">
        <v>975</v>
      </c>
      <c r="K12" s="858" t="s">
        <v>939</v>
      </c>
      <c r="L12" s="856"/>
      <c r="M12" s="856"/>
      <c r="N12" s="856"/>
      <c r="O12" s="856"/>
      <c r="P12" s="856"/>
      <c r="Q12" s="856"/>
      <c r="R12" s="856"/>
      <c r="S12" s="856"/>
      <c r="T12" s="856"/>
      <c r="U12" s="857"/>
      <c r="V12" s="856"/>
      <c r="W12" s="698"/>
      <c r="X12" s="698"/>
      <c r="Y12" s="698"/>
      <c r="Z12" s="698"/>
      <c r="AA12" s="700"/>
      <c r="AB12" s="208"/>
    </row>
    <row r="13" spans="1:28">
      <c r="B13" s="735"/>
      <c r="C13" s="735"/>
      <c r="D13" s="883">
        <f>D12/B3</f>
        <v>-4.3602818023664273E-2</v>
      </c>
      <c r="E13" s="336" t="s">
        <v>379</v>
      </c>
      <c r="K13" s="858"/>
      <c r="L13" s="1285" t="s">
        <v>940</v>
      </c>
      <c r="M13" s="1285"/>
      <c r="N13" s="1285"/>
      <c r="O13" s="1285"/>
      <c r="P13" s="1285"/>
      <c r="Q13" s="1285"/>
      <c r="R13" s="1285"/>
      <c r="S13" s="1285"/>
      <c r="T13" s="1285"/>
      <c r="U13" s="1285"/>
      <c r="V13" s="1285"/>
      <c r="W13" s="1285"/>
      <c r="X13" s="1285"/>
      <c r="Y13" s="1285"/>
      <c r="Z13" s="1285"/>
      <c r="AA13" s="1432"/>
    </row>
    <row r="14" spans="1:28">
      <c r="K14" s="854"/>
      <c r="L14" s="1285"/>
      <c r="M14" s="1285"/>
      <c r="N14" s="1285"/>
      <c r="O14" s="1285"/>
      <c r="P14" s="1285"/>
      <c r="Q14" s="1285"/>
      <c r="R14" s="1285"/>
      <c r="S14" s="1285"/>
      <c r="T14" s="1285"/>
      <c r="U14" s="1285"/>
      <c r="V14" s="1285"/>
      <c r="W14" s="1285"/>
      <c r="X14" s="1285"/>
      <c r="Y14" s="1285"/>
      <c r="Z14" s="1285"/>
      <c r="AA14" s="1432"/>
    </row>
    <row r="15" spans="1:28" ht="15" thickBot="1">
      <c r="K15" s="702"/>
      <c r="L15" s="743"/>
      <c r="M15" s="703"/>
      <c r="N15" s="703"/>
      <c r="O15" s="703"/>
      <c r="P15" s="703"/>
      <c r="Q15" s="703"/>
      <c r="R15" s="703"/>
      <c r="S15" s="703"/>
      <c r="T15" s="703"/>
      <c r="U15" s="703"/>
      <c r="V15" s="703"/>
      <c r="W15" s="703"/>
      <c r="X15" s="703"/>
      <c r="Y15" s="703"/>
      <c r="Z15" s="703"/>
      <c r="AA15" s="704"/>
    </row>
    <row r="17" spans="2:3">
      <c r="B17" s="5"/>
      <c r="C17" s="5"/>
    </row>
    <row r="18" spans="2:3">
      <c r="B18" s="5"/>
      <c r="C18" s="5"/>
    </row>
    <row r="23" spans="2:3">
      <c r="B23" s="5"/>
      <c r="C23" s="5"/>
    </row>
  </sheetData>
  <sheetProtection password="A4FF" sheet="1" objects="1" scenarios="1"/>
  <mergeCells count="2">
    <mergeCell ref="B2:D2"/>
    <mergeCell ref="L13:AA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theme="2" tint="-0.499984740745262"/>
  </sheetPr>
  <dimension ref="A1:AE28"/>
  <sheetViews>
    <sheetView workbookViewId="0">
      <selection activeCell="G23" sqref="G23"/>
    </sheetView>
  </sheetViews>
  <sheetFormatPr baseColWidth="10" defaultColWidth="8.83203125" defaultRowHeight="14" x14ac:dyDescent="0"/>
  <cols>
    <col min="1" max="1" width="28.83203125" customWidth="1"/>
    <col min="2" max="2" width="17.5" style="561" customWidth="1"/>
  </cols>
  <sheetData>
    <row r="1" spans="1:31" ht="19" thickBot="1">
      <c r="A1" s="705" t="s">
        <v>278</v>
      </c>
    </row>
    <row r="2" spans="1:31" ht="19" thickBot="1">
      <c r="A2" s="729" t="s">
        <v>277</v>
      </c>
      <c r="M2" s="718" t="s">
        <v>650</v>
      </c>
      <c r="N2" s="719"/>
      <c r="O2" s="719"/>
      <c r="P2" s="719"/>
      <c r="Q2" s="719"/>
      <c r="R2" s="719"/>
      <c r="S2" s="719"/>
      <c r="T2" s="719"/>
      <c r="U2" s="719"/>
      <c r="V2" s="719"/>
      <c r="W2" s="719"/>
      <c r="X2" s="719"/>
      <c r="Y2" s="719"/>
      <c r="Z2" s="719"/>
      <c r="AA2" s="719"/>
      <c r="AB2" s="719"/>
      <c r="AC2" s="719"/>
      <c r="AD2" s="719"/>
      <c r="AE2" s="699"/>
    </row>
    <row r="3" spans="1:31" ht="19" thickBot="1">
      <c r="A3" s="748" t="s">
        <v>894</v>
      </c>
      <c r="B3" s="1011"/>
      <c r="M3" s="721"/>
      <c r="N3" s="698"/>
      <c r="O3" s="698"/>
      <c r="P3" s="698"/>
      <c r="Q3" s="698"/>
      <c r="R3" s="698"/>
      <c r="S3" s="698"/>
      <c r="T3" s="698"/>
      <c r="U3" s="698"/>
      <c r="V3" s="698"/>
      <c r="W3" s="698"/>
      <c r="X3" s="698"/>
      <c r="Y3" s="698"/>
      <c r="Z3" s="698"/>
      <c r="AA3" s="698"/>
      <c r="AB3" s="698"/>
      <c r="AC3" s="698"/>
      <c r="AD3" s="698"/>
      <c r="AE3" s="700"/>
    </row>
    <row r="4" spans="1:31">
      <c r="A4" s="208"/>
      <c r="B4" s="676"/>
      <c r="C4" s="625"/>
      <c r="D4" s="623"/>
      <c r="E4" s="5"/>
      <c r="M4" s="744" t="s">
        <v>911</v>
      </c>
      <c r="N4" s="697"/>
      <c r="O4" s="697"/>
      <c r="P4" s="697"/>
      <c r="Q4" s="697"/>
      <c r="R4" s="697"/>
      <c r="S4" s="697"/>
      <c r="T4" s="697"/>
      <c r="U4" s="697"/>
      <c r="V4" s="697"/>
      <c r="W4" s="697"/>
      <c r="X4" s="697"/>
      <c r="Y4" s="697"/>
      <c r="Z4" s="698"/>
      <c r="AA4" s="698"/>
      <c r="AB4" s="698"/>
      <c r="AC4" s="698"/>
      <c r="AD4" s="698"/>
      <c r="AE4" s="700"/>
    </row>
    <row r="5" spans="1:31" ht="15" thickBot="1">
      <c r="A5" s="735" t="s">
        <v>896</v>
      </c>
      <c r="B5" s="734">
        <f>B7+B10+B12</f>
        <v>821062.15503344615</v>
      </c>
      <c r="C5" s="5"/>
      <c r="D5" s="1434" t="s">
        <v>910</v>
      </c>
      <c r="E5" s="1435"/>
      <c r="F5" s="1435"/>
      <c r="G5" s="1435"/>
      <c r="H5" s="1435"/>
      <c r="I5" s="1435"/>
      <c r="J5" s="1435"/>
      <c r="M5" s="720"/>
      <c r="N5" s="701"/>
      <c r="O5" s="698"/>
      <c r="P5" s="698"/>
      <c r="Q5" s="698"/>
      <c r="R5" s="698"/>
      <c r="S5" s="698"/>
      <c r="T5" s="698"/>
      <c r="U5" s="698"/>
      <c r="V5" s="698"/>
      <c r="W5" s="698"/>
      <c r="X5" s="698"/>
      <c r="Y5" s="698"/>
      <c r="Z5" s="698"/>
      <c r="AA5" s="698"/>
      <c r="AB5" s="698"/>
      <c r="AC5" s="698"/>
      <c r="AD5" s="698"/>
      <c r="AE5" s="700"/>
    </row>
    <row r="6" spans="1:31" ht="15" customHeight="1" thickBot="1">
      <c r="A6" s="753" t="s">
        <v>895</v>
      </c>
      <c r="B6" s="734">
        <f>IF(C6=0,(B7+B10),C6)</f>
        <v>815569</v>
      </c>
      <c r="C6" s="1034">
        <v>815569</v>
      </c>
      <c r="D6" s="1435"/>
      <c r="E6" s="1435"/>
      <c r="F6" s="1435"/>
      <c r="G6" s="1435"/>
      <c r="H6" s="1435"/>
      <c r="I6" s="1435"/>
      <c r="J6" s="1435"/>
      <c r="M6" s="780" t="s">
        <v>908</v>
      </c>
      <c r="N6" s="698"/>
      <c r="O6" s="698"/>
      <c r="P6" s="698"/>
      <c r="Q6" s="698"/>
      <c r="R6" s="698"/>
      <c r="S6" s="698"/>
      <c r="T6" s="698"/>
      <c r="U6" s="698"/>
      <c r="V6" s="698"/>
      <c r="W6" s="698"/>
      <c r="X6" s="698"/>
      <c r="Y6" s="698"/>
      <c r="Z6" s="698"/>
      <c r="AA6" s="698"/>
      <c r="AB6" s="698"/>
      <c r="AC6" s="698"/>
      <c r="AD6" s="698"/>
      <c r="AE6" s="700"/>
    </row>
    <row r="7" spans="1:31" ht="15" thickBot="1">
      <c r="A7" s="753" t="s">
        <v>270</v>
      </c>
      <c r="B7" s="734">
        <f>IF(C6&gt;0,(B6/1.774),C7)</f>
        <v>459734.49830890645</v>
      </c>
      <c r="C7" s="1033"/>
      <c r="D7" s="1435"/>
      <c r="E7" s="1435"/>
      <c r="F7" s="1435"/>
      <c r="G7" s="1435"/>
      <c r="H7" s="1435"/>
      <c r="I7" s="1435"/>
      <c r="J7" s="1435"/>
      <c r="M7" s="721"/>
      <c r="N7" s="1285" t="s">
        <v>907</v>
      </c>
      <c r="O7" s="1321"/>
      <c r="P7" s="1321"/>
      <c r="Q7" s="1321"/>
      <c r="R7" s="1321"/>
      <c r="S7" s="1321"/>
      <c r="T7" s="1321"/>
      <c r="U7" s="1321"/>
      <c r="V7" s="1321"/>
      <c r="W7" s="1321"/>
      <c r="X7" s="1321"/>
      <c r="Y7" s="1321"/>
      <c r="Z7" s="1321"/>
      <c r="AA7" s="1321"/>
      <c r="AB7" s="1321"/>
      <c r="AC7" s="1321"/>
      <c r="AD7" s="1321"/>
      <c r="AE7" s="1322"/>
    </row>
    <row r="8" spans="1:31">
      <c r="A8" s="1015" t="s">
        <v>461</v>
      </c>
      <c r="B8" s="1016">
        <f>B7*(0.25)</f>
        <v>114933.62457722661</v>
      </c>
      <c r="C8" s="5"/>
      <c r="M8" s="721"/>
      <c r="N8" s="1321"/>
      <c r="O8" s="1321"/>
      <c r="P8" s="1321"/>
      <c r="Q8" s="1321"/>
      <c r="R8" s="1321"/>
      <c r="S8" s="1321"/>
      <c r="T8" s="1321"/>
      <c r="U8" s="1321"/>
      <c r="V8" s="1321"/>
      <c r="W8" s="1321"/>
      <c r="X8" s="1321"/>
      <c r="Y8" s="1321"/>
      <c r="Z8" s="1321"/>
      <c r="AA8" s="1321"/>
      <c r="AB8" s="1321"/>
      <c r="AC8" s="1321"/>
      <c r="AD8" s="1321"/>
      <c r="AE8" s="1322"/>
    </row>
    <row r="9" spans="1:31">
      <c r="B9" s="624"/>
      <c r="C9" s="5"/>
      <c r="M9" s="721"/>
      <c r="N9" s="725"/>
      <c r="O9" s="698"/>
      <c r="P9" s="698"/>
      <c r="Q9" s="698"/>
      <c r="R9" s="698"/>
      <c r="S9" s="698"/>
      <c r="T9" s="698"/>
      <c r="U9" s="698"/>
      <c r="V9" s="698"/>
      <c r="W9" s="698"/>
      <c r="X9" s="698"/>
      <c r="Y9" s="698"/>
      <c r="Z9" s="698"/>
      <c r="AA9" s="698"/>
      <c r="AB9" s="698"/>
      <c r="AC9" s="698"/>
      <c r="AD9" s="698"/>
      <c r="AE9" s="700"/>
    </row>
    <row r="10" spans="1:31">
      <c r="A10" s="735" t="s">
        <v>287</v>
      </c>
      <c r="B10" s="734">
        <f>2*B7*(12/15)*0.5*(0.893)*(26/24)</f>
        <v>355803.8527245397</v>
      </c>
      <c r="C10" s="5"/>
      <c r="E10" s="562"/>
      <c r="F10" s="561"/>
      <c r="M10" s="720" t="s">
        <v>905</v>
      </c>
      <c r="N10" s="698"/>
      <c r="O10" s="698"/>
      <c r="P10" s="698"/>
      <c r="Q10" s="698"/>
      <c r="R10" s="698"/>
      <c r="S10" s="698"/>
      <c r="T10" s="698"/>
      <c r="U10" s="698"/>
      <c r="V10" s="698"/>
      <c r="W10" s="698"/>
      <c r="X10" s="698"/>
      <c r="Y10" s="698"/>
      <c r="Z10" s="698"/>
      <c r="AA10" s="698"/>
      <c r="AB10" s="698"/>
      <c r="AC10" s="698"/>
      <c r="AD10" s="698"/>
      <c r="AE10" s="700"/>
    </row>
    <row r="11" spans="1:31" ht="15" thickBot="1">
      <c r="A11" s="735" t="s">
        <v>275</v>
      </c>
      <c r="B11" s="734">
        <f>1*B7*(12/15)*0.5*(0.893)*(24/26)</f>
        <v>151585.07335009976</v>
      </c>
      <c r="C11" s="5"/>
      <c r="M11" s="780" t="s">
        <v>897</v>
      </c>
      <c r="N11" s="698"/>
      <c r="O11" s="698"/>
      <c r="P11" s="698"/>
      <c r="Q11" s="698"/>
      <c r="R11" s="698"/>
      <c r="S11" s="698"/>
      <c r="T11" s="698"/>
      <c r="U11" s="698"/>
      <c r="V11" s="698"/>
      <c r="W11" s="698"/>
      <c r="X11" s="698"/>
      <c r="Y11" s="698"/>
      <c r="Z11" s="698"/>
      <c r="AA11" s="698"/>
      <c r="AB11" s="698"/>
      <c r="AC11" s="698"/>
      <c r="AD11" s="698"/>
      <c r="AE11" s="700"/>
    </row>
    <row r="12" spans="1:31">
      <c r="A12" s="1019" t="s">
        <v>903</v>
      </c>
      <c r="B12" s="779">
        <f>(B16*5)+(B15*3)+B14</f>
        <v>5523.8040000000001</v>
      </c>
      <c r="C12" s="1020" t="s">
        <v>906</v>
      </c>
      <c r="D12" s="206"/>
      <c r="E12" s="13"/>
      <c r="F12" s="14"/>
      <c r="M12" s="780"/>
      <c r="N12" s="725" t="s">
        <v>269</v>
      </c>
      <c r="O12" s="698"/>
      <c r="P12" s="698"/>
      <c r="Q12" s="698"/>
      <c r="R12" s="698"/>
      <c r="S12" s="698"/>
      <c r="T12" s="698"/>
      <c r="U12" s="698"/>
      <c r="V12" s="698"/>
      <c r="W12" s="698"/>
      <c r="X12" s="698"/>
      <c r="Y12" s="698"/>
      <c r="Z12" s="698"/>
      <c r="AA12" s="698"/>
      <c r="AB12" s="698"/>
      <c r="AC12" s="698"/>
      <c r="AD12" s="698"/>
      <c r="AE12" s="700"/>
    </row>
    <row r="13" spans="1:31">
      <c r="A13" s="759">
        <v>0</v>
      </c>
      <c r="B13" s="777">
        <f>F13*0.483</f>
        <v>2486.4839999999999</v>
      </c>
      <c r="C13" s="676"/>
      <c r="D13" s="208"/>
      <c r="E13" s="707" t="s">
        <v>273</v>
      </c>
      <c r="F13" s="1018">
        <v>5148</v>
      </c>
      <c r="M13" s="780"/>
      <c r="N13" s="725" t="s">
        <v>898</v>
      </c>
      <c r="O13" s="698"/>
      <c r="P13" s="698"/>
      <c r="Q13" s="698"/>
      <c r="R13" s="698"/>
      <c r="S13" s="698"/>
      <c r="T13" s="698"/>
      <c r="U13" s="698"/>
      <c r="V13" s="698"/>
      <c r="W13" s="698"/>
      <c r="X13" s="698"/>
      <c r="Y13" s="698"/>
      <c r="Z13" s="698"/>
      <c r="AA13" s="698"/>
      <c r="AB13" s="698"/>
      <c r="AC13" s="698"/>
      <c r="AD13" s="698"/>
      <c r="AE13" s="700"/>
    </row>
    <row r="14" spans="1:31">
      <c r="A14" s="759">
        <v>1</v>
      </c>
      <c r="B14" s="777">
        <f>F13*0.285</f>
        <v>1467.1799999999998</v>
      </c>
      <c r="C14" s="676"/>
      <c r="D14" s="208"/>
      <c r="E14" s="208"/>
      <c r="F14" s="595"/>
      <c r="M14" s="721"/>
      <c r="N14" s="725"/>
      <c r="O14" s="698"/>
      <c r="P14" s="698"/>
      <c r="Q14" s="698"/>
      <c r="R14" s="698"/>
      <c r="S14" s="698"/>
      <c r="T14" s="698"/>
      <c r="U14" s="698"/>
      <c r="V14" s="698"/>
      <c r="W14" s="698"/>
      <c r="X14" s="698"/>
      <c r="Y14" s="698"/>
      <c r="Z14" s="698"/>
      <c r="AA14" s="698"/>
      <c r="AB14" s="698"/>
      <c r="AC14" s="698"/>
      <c r="AD14" s="698"/>
      <c r="AE14" s="700"/>
    </row>
    <row r="15" spans="1:31">
      <c r="A15" s="1013" t="s">
        <v>274</v>
      </c>
      <c r="B15" s="777">
        <f>F13*0.186</f>
        <v>957.52800000000002</v>
      </c>
      <c r="C15" s="676"/>
      <c r="D15" s="208"/>
      <c r="E15" s="208"/>
      <c r="F15" s="799"/>
      <c r="M15" s="721" t="s">
        <v>900</v>
      </c>
      <c r="N15" s="698"/>
      <c r="O15" s="698"/>
      <c r="P15" s="698"/>
      <c r="Q15" s="698"/>
      <c r="R15" s="698"/>
      <c r="S15" s="698"/>
      <c r="T15" s="698"/>
      <c r="U15" s="698"/>
      <c r="V15" s="698"/>
      <c r="W15" s="698"/>
      <c r="X15" s="698"/>
      <c r="Y15" s="698"/>
      <c r="Z15" s="698"/>
      <c r="AA15" s="698"/>
      <c r="AB15" s="698"/>
      <c r="AC15" s="698"/>
      <c r="AD15" s="698"/>
      <c r="AE15" s="700"/>
    </row>
    <row r="16" spans="1:31" ht="15" thickBot="1">
      <c r="A16" s="761" t="s">
        <v>904</v>
      </c>
      <c r="B16" s="778">
        <f>F13*0.046</f>
        <v>236.80799999999999</v>
      </c>
      <c r="C16" s="756"/>
      <c r="D16" s="757"/>
      <c r="E16" s="757"/>
      <c r="F16" s="758"/>
      <c r="M16" s="721"/>
      <c r="N16" s="1021" t="s">
        <v>899</v>
      </c>
      <c r="O16" s="698"/>
      <c r="P16" s="698"/>
      <c r="Q16" s="698"/>
      <c r="R16" s="698"/>
      <c r="S16" s="698"/>
      <c r="T16" s="698"/>
      <c r="U16" s="698"/>
      <c r="V16" s="698"/>
      <c r="W16" s="698"/>
      <c r="X16" s="698"/>
      <c r="Y16" s="698"/>
      <c r="Z16" s="698"/>
      <c r="AA16" s="698"/>
      <c r="AB16" s="698"/>
      <c r="AC16" s="698"/>
      <c r="AD16" s="698"/>
      <c r="AE16" s="700"/>
    </row>
    <row r="17" spans="1:31" ht="15" thickBot="1">
      <c r="A17" s="562"/>
      <c r="B17" s="5"/>
      <c r="C17" s="5"/>
      <c r="M17" s="721"/>
      <c r="N17" s="698"/>
      <c r="O17" s="698"/>
      <c r="P17" s="698"/>
      <c r="Q17" s="698"/>
      <c r="R17" s="698"/>
      <c r="S17" s="698"/>
      <c r="T17" s="698"/>
      <c r="U17" s="725"/>
      <c r="V17" s="698"/>
      <c r="W17" s="698"/>
      <c r="X17" s="698"/>
      <c r="Y17" s="698"/>
      <c r="Z17" s="698"/>
      <c r="AA17" s="698"/>
      <c r="AB17" s="698"/>
      <c r="AC17" s="698"/>
      <c r="AD17" s="698"/>
      <c r="AE17" s="700"/>
    </row>
    <row r="18" spans="1:31">
      <c r="A18" s="755" t="s">
        <v>271</v>
      </c>
      <c r="B18" s="772">
        <f>(B7/2)*0.893</f>
        <v>205271.45349492674</v>
      </c>
      <c r="C18" s="599"/>
      <c r="D18" s="8"/>
      <c r="E18" s="8"/>
      <c r="F18" s="8"/>
      <c r="G18" s="561"/>
      <c r="M18" s="721" t="s">
        <v>909</v>
      </c>
      <c r="N18" s="698"/>
      <c r="O18" s="698"/>
      <c r="P18" s="698"/>
      <c r="Q18" s="698"/>
      <c r="R18" s="698"/>
      <c r="S18" s="698"/>
      <c r="T18" s="698"/>
      <c r="U18" s="725"/>
      <c r="V18" s="698"/>
      <c r="W18" s="698"/>
      <c r="X18" s="698"/>
      <c r="Y18" s="698"/>
      <c r="Z18" s="698"/>
      <c r="AA18" s="698"/>
      <c r="AB18" s="698"/>
      <c r="AC18" s="698"/>
      <c r="AD18" s="698"/>
      <c r="AE18" s="700"/>
    </row>
    <row r="19" spans="1:31">
      <c r="A19" s="762" t="s">
        <v>272</v>
      </c>
      <c r="B19" s="773">
        <f>(B7)*0.3</f>
        <v>137920.34949267193</v>
      </c>
      <c r="C19" s="599"/>
      <c r="D19" s="8"/>
      <c r="E19" s="8"/>
      <c r="F19" s="675"/>
      <c r="M19" s="720" t="s">
        <v>902</v>
      </c>
      <c r="N19" s="701"/>
      <c r="O19" s="698"/>
      <c r="P19" s="698"/>
      <c r="Q19" s="698"/>
      <c r="R19" s="698"/>
      <c r="S19" s="698"/>
      <c r="T19" s="698"/>
      <c r="U19" s="698"/>
      <c r="V19" s="698"/>
      <c r="W19" s="698"/>
      <c r="X19" s="698"/>
      <c r="Y19" s="698"/>
      <c r="Z19" s="698"/>
      <c r="AA19" s="698"/>
      <c r="AB19" s="698"/>
      <c r="AC19" s="698"/>
      <c r="AD19" s="698"/>
      <c r="AE19" s="700"/>
    </row>
    <row r="20" spans="1:31">
      <c r="A20" s="762" t="s">
        <v>463</v>
      </c>
      <c r="B20" s="773">
        <f>B5*0.076</f>
        <v>62400.723782541907</v>
      </c>
      <c r="C20" s="599"/>
      <c r="D20" s="8"/>
      <c r="E20" s="8"/>
      <c r="F20" s="675"/>
      <c r="M20" s="720"/>
      <c r="N20" s="725" t="s">
        <v>901</v>
      </c>
      <c r="O20" s="698"/>
      <c r="P20" s="698"/>
      <c r="Q20" s="698"/>
      <c r="R20" s="698"/>
      <c r="S20" s="698"/>
      <c r="T20" s="698"/>
      <c r="U20" s="698"/>
      <c r="V20" s="698"/>
      <c r="W20" s="698"/>
      <c r="X20" s="698"/>
      <c r="Y20" s="698"/>
      <c r="Z20" s="698"/>
      <c r="AA20" s="698"/>
      <c r="AB20" s="698"/>
      <c r="AC20" s="698"/>
      <c r="AD20" s="698"/>
      <c r="AE20" s="700"/>
    </row>
    <row r="21" spans="1:31" ht="15" thickBot="1">
      <c r="A21" s="763" t="s">
        <v>462</v>
      </c>
      <c r="B21" s="774">
        <f>B7*0.107</f>
        <v>49191.59131905299</v>
      </c>
      <c r="C21" s="8"/>
      <c r="D21" s="8"/>
      <c r="E21" s="8"/>
      <c r="F21" s="8"/>
      <c r="M21" s="702"/>
      <c r="N21" s="743"/>
      <c r="O21" s="703"/>
      <c r="P21" s="703"/>
      <c r="Q21" s="703"/>
      <c r="R21" s="703"/>
      <c r="S21" s="703"/>
      <c r="T21" s="703"/>
      <c r="U21" s="703"/>
      <c r="V21" s="703"/>
      <c r="W21" s="703"/>
      <c r="X21" s="703"/>
      <c r="Y21" s="703"/>
      <c r="Z21" s="703"/>
      <c r="AA21" s="703"/>
      <c r="AB21" s="703"/>
      <c r="AC21" s="703"/>
      <c r="AD21" s="703"/>
      <c r="AE21" s="704"/>
    </row>
    <row r="22" spans="1:31">
      <c r="A22" s="208"/>
      <c r="B22" s="563"/>
      <c r="C22" s="63"/>
    </row>
    <row r="23" spans="1:31">
      <c r="A23" s="208"/>
      <c r="B23" s="563"/>
      <c r="C23" s="63"/>
    </row>
    <row r="24" spans="1:31">
      <c r="A24" s="208"/>
      <c r="B24" s="563"/>
      <c r="C24" s="63"/>
    </row>
    <row r="25" spans="1:31">
      <c r="A25" s="208"/>
      <c r="B25" s="563"/>
      <c r="C25" s="63"/>
    </row>
    <row r="26" spans="1:31">
      <c r="A26" s="63"/>
      <c r="B26" s="563"/>
      <c r="C26" s="63"/>
    </row>
    <row r="27" spans="1:31">
      <c r="A27" s="63"/>
      <c r="B27" s="563"/>
      <c r="C27" s="63"/>
    </row>
    <row r="28" spans="1:31" ht="15.75" customHeight="1">
      <c r="A28" s="1317"/>
      <c r="B28" s="1433"/>
      <c r="C28" s="1433"/>
      <c r="D28" s="1433"/>
      <c r="E28" s="1433"/>
      <c r="F28" s="1433"/>
      <c r="G28" s="1433"/>
    </row>
  </sheetData>
  <sheetProtection password="A4FF" sheet="1" objects="1" scenarios="1"/>
  <mergeCells count="3">
    <mergeCell ref="A28:G28"/>
    <mergeCell ref="N7:AE8"/>
    <mergeCell ref="D5:J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theme="2" tint="-0.499984740745262"/>
    <pageSetUpPr fitToPage="1"/>
  </sheetPr>
  <dimension ref="A1:Y78"/>
  <sheetViews>
    <sheetView workbookViewId="0">
      <pane xSplit="1" topLeftCell="B1" activePane="topRight" state="frozen"/>
      <selection activeCell="B10" sqref="B10"/>
      <selection pane="topRight" activeCell="F7" sqref="F7"/>
    </sheetView>
  </sheetViews>
  <sheetFormatPr baseColWidth="10" defaultColWidth="8.83203125" defaultRowHeight="14" x14ac:dyDescent="0"/>
  <cols>
    <col min="1" max="1" width="44" customWidth="1"/>
    <col min="2" max="2" width="15.6640625" style="562" customWidth="1"/>
    <col min="3" max="3" width="27.5" style="562" customWidth="1"/>
    <col min="4" max="4" width="28.6640625" style="562" customWidth="1"/>
    <col min="5" max="5" width="17.83203125" style="562" customWidth="1"/>
    <col min="6" max="6" width="15.5" style="562" customWidth="1"/>
    <col min="7" max="8" width="13.6640625" customWidth="1"/>
    <col min="9" max="9" width="12.1640625" style="208" customWidth="1"/>
    <col min="10" max="10" width="19.5" style="208" customWidth="1"/>
    <col min="11" max="12" width="8.1640625" style="208" customWidth="1"/>
    <col min="13" max="13" width="8.33203125" style="208" customWidth="1"/>
    <col min="14" max="14" width="7.83203125" style="208" customWidth="1"/>
    <col min="15" max="15" width="17.33203125" style="208" customWidth="1"/>
    <col min="16" max="16" width="17" style="208" customWidth="1"/>
    <col min="17" max="17" width="16.5" style="208" customWidth="1"/>
    <col min="18" max="18" width="19.5" style="208" customWidth="1"/>
    <col min="19" max="19" width="17.5" style="208" customWidth="1"/>
    <col min="20" max="20" width="22.1640625" style="208" customWidth="1"/>
    <col min="21" max="21" width="21.1640625" style="208" customWidth="1"/>
    <col min="22" max="25" width="8.83203125" style="8"/>
  </cols>
  <sheetData>
    <row r="1" spans="1:25" s="573" customFormat="1" ht="19" thickBot="1">
      <c r="A1" s="1035" t="s">
        <v>814</v>
      </c>
      <c r="B1" s="582" t="s">
        <v>297</v>
      </c>
      <c r="C1" s="582" t="s">
        <v>302</v>
      </c>
      <c r="D1" s="582" t="s">
        <v>301</v>
      </c>
      <c r="E1" s="582" t="s">
        <v>279</v>
      </c>
      <c r="F1" s="582" t="s">
        <v>303</v>
      </c>
      <c r="I1" s="785"/>
      <c r="J1" s="785"/>
      <c r="K1" s="785"/>
      <c r="L1" s="785"/>
      <c r="M1" s="785"/>
      <c r="N1" s="785"/>
      <c r="O1" s="785"/>
      <c r="P1" s="785"/>
      <c r="Q1" s="785"/>
      <c r="R1" s="785"/>
      <c r="S1" s="785"/>
      <c r="T1" s="785"/>
      <c r="U1" s="785"/>
      <c r="V1" s="745"/>
      <c r="W1" s="745"/>
      <c r="X1" s="745"/>
      <c r="Y1" s="745"/>
    </row>
    <row r="2" spans="1:25">
      <c r="A2" s="164" t="s">
        <v>374</v>
      </c>
      <c r="B2" s="587">
        <f t="shared" ref="B2:F2" si="0">B3/2.2046</f>
        <v>60.010886328585684</v>
      </c>
      <c r="C2" s="587">
        <f t="shared" si="0"/>
        <v>104.32731561280957</v>
      </c>
      <c r="D2" s="587">
        <f t="shared" si="0"/>
        <v>317.5179170824639</v>
      </c>
      <c r="E2" s="587">
        <f t="shared" si="0"/>
        <v>612.35598294475187</v>
      </c>
      <c r="F2" s="587">
        <f t="shared" si="0"/>
        <v>680.39553660527986</v>
      </c>
      <c r="I2" s="718" t="s">
        <v>650</v>
      </c>
      <c r="J2" s="719"/>
      <c r="K2" s="719"/>
      <c r="L2" s="719"/>
      <c r="M2" s="719"/>
      <c r="N2" s="719"/>
      <c r="O2" s="719"/>
      <c r="P2" s="719"/>
      <c r="Q2" s="719"/>
      <c r="R2" s="719"/>
      <c r="S2" s="719"/>
      <c r="T2" s="719"/>
      <c r="U2" s="699"/>
      <c r="V2" s="675"/>
    </row>
    <row r="3" spans="1:25">
      <c r="A3" s="164" t="s">
        <v>291</v>
      </c>
      <c r="B3" s="587">
        <v>132.30000000000001</v>
      </c>
      <c r="C3" s="587">
        <v>230</v>
      </c>
      <c r="D3" s="587">
        <v>700</v>
      </c>
      <c r="E3" s="587">
        <v>1350</v>
      </c>
      <c r="F3" s="587">
        <v>1500</v>
      </c>
      <c r="I3" s="721"/>
      <c r="J3" s="698"/>
      <c r="K3" s="698"/>
      <c r="L3" s="698"/>
      <c r="M3" s="698"/>
      <c r="N3" s="698"/>
      <c r="O3" s="698"/>
      <c r="P3" s="698"/>
      <c r="Q3" s="698"/>
      <c r="R3" s="698"/>
      <c r="S3" s="698"/>
      <c r="T3" s="698"/>
      <c r="U3" s="700"/>
      <c r="V3" s="675"/>
    </row>
    <row r="4" spans="1:25">
      <c r="A4" s="164" t="s">
        <v>300</v>
      </c>
      <c r="B4" s="562" t="s">
        <v>296</v>
      </c>
      <c r="C4" s="562">
        <v>5</v>
      </c>
      <c r="D4" s="562">
        <v>11</v>
      </c>
      <c r="E4" s="562">
        <v>31</v>
      </c>
      <c r="F4" s="562">
        <v>34</v>
      </c>
      <c r="I4" s="780" t="s">
        <v>770</v>
      </c>
      <c r="J4" s="698"/>
      <c r="K4" s="697"/>
      <c r="L4" s="697"/>
      <c r="M4" s="697"/>
      <c r="N4" s="697"/>
      <c r="O4" s="697"/>
      <c r="P4" s="697"/>
      <c r="Q4" s="697"/>
      <c r="R4" s="697"/>
      <c r="S4" s="697"/>
      <c r="T4" s="697"/>
      <c r="U4" s="700"/>
    </row>
    <row r="5" spans="1:25">
      <c r="A5" s="164" t="s">
        <v>298</v>
      </c>
      <c r="C5" s="562">
        <v>15</v>
      </c>
      <c r="D5" s="562">
        <v>15</v>
      </c>
      <c r="E5" s="562">
        <v>15</v>
      </c>
      <c r="F5" s="562">
        <v>15</v>
      </c>
      <c r="I5" s="840"/>
      <c r="J5" s="725" t="s">
        <v>917</v>
      </c>
      <c r="K5" s="698"/>
      <c r="L5" s="698"/>
      <c r="M5" s="698"/>
      <c r="N5" s="698"/>
      <c r="O5" s="698"/>
      <c r="P5" s="698"/>
      <c r="Q5" s="698"/>
      <c r="R5" s="698"/>
      <c r="S5" s="698"/>
      <c r="T5" s="698"/>
      <c r="U5" s="700"/>
    </row>
    <row r="6" spans="1:25">
      <c r="A6" s="164" t="s">
        <v>299</v>
      </c>
      <c r="C6" s="562">
        <v>26</v>
      </c>
      <c r="D6" s="562">
        <v>26</v>
      </c>
      <c r="E6" s="562">
        <v>26</v>
      </c>
      <c r="F6" s="562">
        <v>26</v>
      </c>
      <c r="I6" s="1288"/>
      <c r="J6" s="1321"/>
      <c r="K6" s="1321"/>
      <c r="L6" s="1321"/>
      <c r="M6" s="1321"/>
      <c r="N6" s="1321"/>
      <c r="O6" s="1321"/>
      <c r="P6" s="1321"/>
      <c r="Q6" s="1321"/>
      <c r="R6" s="1321"/>
      <c r="S6" s="1321"/>
      <c r="T6" s="1321"/>
      <c r="U6" s="1322"/>
    </row>
    <row r="7" spans="1:25">
      <c r="A7" s="164" t="s">
        <v>304</v>
      </c>
      <c r="E7" s="562">
        <v>15</v>
      </c>
      <c r="F7" s="562">
        <v>253</v>
      </c>
      <c r="I7" s="1288"/>
      <c r="J7" s="1321"/>
      <c r="K7" s="1321"/>
      <c r="L7" s="1321"/>
      <c r="M7" s="1321"/>
      <c r="N7" s="1321"/>
      <c r="O7" s="1321"/>
      <c r="P7" s="1321"/>
      <c r="Q7" s="1321"/>
      <c r="R7" s="1321"/>
      <c r="S7" s="1321"/>
      <c r="T7" s="1321"/>
      <c r="U7" s="1322"/>
    </row>
    <row r="8" spans="1:25">
      <c r="A8" s="164" t="s">
        <v>305</v>
      </c>
      <c r="E8" s="562">
        <v>185</v>
      </c>
      <c r="I8" s="1288" t="s">
        <v>918</v>
      </c>
      <c r="J8" s="1321"/>
      <c r="K8" s="1321"/>
      <c r="L8" s="1321"/>
      <c r="M8" s="1321"/>
      <c r="N8" s="1321"/>
      <c r="O8" s="1321"/>
      <c r="P8" s="1321"/>
      <c r="Q8" s="1321"/>
      <c r="R8" s="1321"/>
      <c r="S8" s="1321"/>
      <c r="T8" s="1321"/>
      <c r="U8" s="1322"/>
    </row>
    <row r="9" spans="1:25">
      <c r="A9" s="164" t="s">
        <v>292</v>
      </c>
      <c r="E9" s="562">
        <v>80</v>
      </c>
      <c r="I9" s="1288"/>
      <c r="J9" s="1321"/>
      <c r="K9" s="1321"/>
      <c r="L9" s="1321"/>
      <c r="M9" s="1321"/>
      <c r="N9" s="1321"/>
      <c r="O9" s="1321"/>
      <c r="P9" s="1321"/>
      <c r="Q9" s="1321"/>
      <c r="R9" s="1321"/>
      <c r="S9" s="1321"/>
      <c r="T9" s="1321"/>
      <c r="U9" s="1322"/>
    </row>
    <row r="10" spans="1:25">
      <c r="A10" s="164" t="s">
        <v>293</v>
      </c>
      <c r="F10" s="562">
        <v>3</v>
      </c>
      <c r="I10" s="849"/>
      <c r="J10" s="885" t="s">
        <v>919</v>
      </c>
      <c r="K10" s="856" t="s">
        <v>925</v>
      </c>
      <c r="L10" s="857"/>
      <c r="M10" s="857"/>
      <c r="N10" s="857"/>
      <c r="O10" s="857"/>
      <c r="P10" s="857"/>
      <c r="Q10" s="857"/>
      <c r="R10" s="857"/>
      <c r="S10" s="857"/>
      <c r="T10" s="857"/>
      <c r="U10" s="1043"/>
    </row>
    <row r="11" spans="1:25">
      <c r="A11" s="164" t="s">
        <v>284</v>
      </c>
      <c r="I11" s="849"/>
      <c r="J11" s="885" t="s">
        <v>924</v>
      </c>
      <c r="K11" s="856" t="s">
        <v>925</v>
      </c>
      <c r="L11" s="857"/>
      <c r="M11" s="857"/>
      <c r="N11" s="857"/>
      <c r="O11" s="857"/>
      <c r="P11" s="857"/>
      <c r="Q11" s="857"/>
      <c r="R11" s="857"/>
      <c r="S11" s="857"/>
      <c r="T11" s="857"/>
      <c r="U11" s="1043"/>
    </row>
    <row r="12" spans="1:25">
      <c r="A12" s="164" t="s">
        <v>289</v>
      </c>
      <c r="B12" s="562">
        <f>SUM(B26:B43)</f>
        <v>2.2470000000000003</v>
      </c>
      <c r="C12" s="562">
        <f>SUM(C26:C43)</f>
        <v>7.4710000000000001</v>
      </c>
      <c r="D12" s="562">
        <f>SUM(D26:D43)</f>
        <v>17.748999999999999</v>
      </c>
      <c r="E12" s="562">
        <f>SUM(E26:E43)</f>
        <v>44.56</v>
      </c>
      <c r="F12" s="562">
        <f>SUM(F26:F43)</f>
        <v>28</v>
      </c>
      <c r="I12" s="849"/>
      <c r="J12" s="885" t="s">
        <v>922</v>
      </c>
      <c r="K12" s="856" t="s">
        <v>923</v>
      </c>
      <c r="L12" s="857"/>
      <c r="M12" s="857"/>
      <c r="N12" s="857"/>
      <c r="O12" s="857"/>
      <c r="P12" s="857"/>
      <c r="Q12" s="857"/>
      <c r="R12" s="857"/>
      <c r="S12" s="857"/>
      <c r="T12" s="857"/>
      <c r="U12" s="1043"/>
    </row>
    <row r="13" spans="1:25">
      <c r="A13" s="164"/>
      <c r="I13" s="849"/>
      <c r="J13" s="885" t="s">
        <v>921</v>
      </c>
      <c r="K13" s="856" t="s">
        <v>926</v>
      </c>
      <c r="L13" s="857"/>
      <c r="M13" s="857"/>
      <c r="N13" s="857"/>
      <c r="O13" s="857"/>
      <c r="P13" s="857"/>
      <c r="Q13" s="857"/>
      <c r="R13" s="857"/>
      <c r="S13" s="857"/>
      <c r="T13" s="857"/>
      <c r="U13" s="1043"/>
    </row>
    <row r="14" spans="1:25" ht="15" thickBot="1">
      <c r="A14" s="164" t="s">
        <v>283</v>
      </c>
      <c r="I14" s="1263"/>
      <c r="J14" s="1264" t="s">
        <v>920</v>
      </c>
      <c r="K14" s="1265" t="s">
        <v>926</v>
      </c>
      <c r="L14" s="1266"/>
      <c r="M14" s="1266"/>
      <c r="N14" s="1266"/>
      <c r="O14" s="1266"/>
      <c r="P14" s="1266"/>
      <c r="Q14" s="1266"/>
      <c r="R14" s="1266"/>
      <c r="S14" s="1266"/>
      <c r="T14" s="1266"/>
      <c r="U14" s="1267"/>
    </row>
    <row r="15" spans="1:25">
      <c r="A15" s="164" t="s">
        <v>294</v>
      </c>
    </row>
    <row r="16" spans="1:25">
      <c r="A16" s="164" t="s">
        <v>280</v>
      </c>
    </row>
    <row r="17" spans="1:6">
      <c r="A17" s="164"/>
    </row>
    <row r="18" spans="1:6">
      <c r="A18" s="1042" t="s">
        <v>330</v>
      </c>
      <c r="B18" s="1037" t="s">
        <v>370</v>
      </c>
      <c r="C18" s="1037" t="s">
        <v>369</v>
      </c>
      <c r="D18" s="1037" t="s">
        <v>369</v>
      </c>
      <c r="E18" s="1037" t="s">
        <v>368</v>
      </c>
      <c r="F18" s="1037" t="s">
        <v>373</v>
      </c>
    </row>
    <row r="19" spans="1:6">
      <c r="A19" s="164" t="s">
        <v>281</v>
      </c>
      <c r="B19" s="568">
        <f>((B$26*Feed_Composition!$E$2)+(B$27*Feed_Composition!$E$3)+(B$28*Feed_Composition!$E$4)+(B$29*Feed_Composition!$E$5)+(B$30*Feed_Composition!$E$6)+(B$31*Feed_Composition!$E$7)+(B$32*Feed_Composition!$E$8)+(B$33*Feed_Composition!$E$9)+(B$34*Feed_Composition!$E$10)+(B$35*Feed_Composition!$E$11)+(B$36*Feed_Composition!$E$12)+(B$37*Feed_Composition!$E$13)+(B$38*Feed_Composition!$E$14)+(B$39*Feed_Composition!$E$15)+(B$40*Feed_Composition!$E$16)+(B$41*Feed_Composition!$E$17)+(B$42*Feed_Composition!$E$18)+(B$43*Feed_Composition!$E$19))/B$12</f>
        <v>6.2009790832220713E-3</v>
      </c>
      <c r="C19" s="568">
        <f>((C$26*Feed_Composition!$E$2)+(C$27*Feed_Composition!$E$3)+(C$28*Feed_Composition!$E$4)+(C$29*Feed_Composition!$E$5)+(C$30*Feed_Composition!$E$6)+(C$31*Feed_Composition!$E$7)+(C$32*Feed_Composition!$E$8)+(C$33*Feed_Composition!$E$9)+(C$34*Feed_Composition!$E$10)+(C$35*Feed_Composition!$E$11)+(C$36*Feed_Composition!$E$12)+(C$37*Feed_Composition!$E$13)+(C$38*Feed_Composition!$E$14)+(C$39*Feed_Composition!$E$15)+(C$40*Feed_Composition!$E$16)+(C$41*Feed_Composition!$E$17)+(C$42*Feed_Composition!$E$18)+(C$43*Feed_Composition!$E$19))/C$12</f>
        <v>3.3349752375853299E-3</v>
      </c>
      <c r="D19" s="568">
        <f>((D$26*Feed_Composition!$E$2)+(D$27*Feed_Composition!$E$3)+(D$28*Feed_Composition!$E$4)+(D$29*Feed_Composition!$E$5)+(D$30*Feed_Composition!$E$6)+(D$31*Feed_Composition!$E$7)+(D$32*Feed_Composition!$E$8)+(D$33*Feed_Composition!$E$9)+(D$34*Feed_Composition!$E$10)+(D$35*Feed_Composition!$E$11)+(D$36*Feed_Composition!$E$12)+(D$37*Feed_Composition!$E$13)+(D$38*Feed_Composition!$E$14)+(D$39*Feed_Composition!$E$15)+(D$40*Feed_Composition!$E$16)+(D$41*Feed_Composition!$E$17)+(D$42*Feed_Composition!$E$18)+(D$43*Feed_Composition!$E$19))/D$12</f>
        <v>3.1416643191165701E-3</v>
      </c>
      <c r="E19" s="568">
        <f>((E$26*Feed_Composition!$E$2)+(E$27*Feed_Composition!$E$3)+(E$28*Feed_Composition!$E$4)+(E$29*Feed_Composition!$E$5)+(E$30*Feed_Composition!$E$6)+(E$31*Feed_Composition!$E$7)+(E$32*Feed_Composition!$E$8)+(E$33*Feed_Composition!$E$9)+(E$34*Feed_Composition!$E$10)+(E$35*Feed_Composition!$E$11)+(E$36*Feed_Composition!$E$12)+(E$37*Feed_Composition!$E$13)+(E$38*Feed_Composition!$E$14)+(E$39*Feed_Composition!$E$15)+(E$40*Feed_Composition!$E$16)+(E$41*Feed_Composition!$E$17)+(E$42*Feed_Composition!$E$18)+(E$43*Feed_Composition!$E$19))/E$12</f>
        <v>3.4499551166965888E-3</v>
      </c>
      <c r="F19" s="568">
        <f>((F$26*Feed_Composition!$E$2)+(F$27*Feed_Composition!$E$3)+(F$28*Feed_Composition!$E$4)+(F$29*Feed_Composition!$E$5)+(F$30*Feed_Composition!$E$6)+(F$31*Feed_Composition!$E$7)+(F$32*Feed_Composition!$E$8)+(F$33*Feed_Composition!$E$9)+(F$34*Feed_Composition!$E$10)+(F$35*Feed_Composition!$E$11)+(F$36*Feed_Composition!$E$12)+(F$37*Feed_Composition!$E$13)+(F$38*Feed_Composition!$E$14)+(F$39*Feed_Composition!$E$15)+(F$40*Feed_Composition!$E$16)+(F$41*Feed_Composition!$E$17)+(F$42*Feed_Composition!$E$18)+(F$43*Feed_Composition!$E$19))/F$12</f>
        <v>2.5928571428571428E-3</v>
      </c>
    </row>
    <row r="20" spans="1:6">
      <c r="A20" s="1042" t="s">
        <v>331</v>
      </c>
      <c r="B20" s="1038">
        <v>6.4999999999999997E-3</v>
      </c>
      <c r="C20" s="1038">
        <v>6.4999999999999997E-3</v>
      </c>
      <c r="D20" s="1038">
        <v>6.4999999999999997E-3</v>
      </c>
      <c r="E20" s="1038">
        <v>1.0500000000000001E-2</v>
      </c>
      <c r="F20" s="1038">
        <v>5.1999999999999998E-3</v>
      </c>
    </row>
    <row r="21" spans="1:6">
      <c r="A21" s="164" t="s">
        <v>325</v>
      </c>
      <c r="B21" s="568">
        <f>((B$26*Feed_Composition!$F$2)+(B$27*Feed_Composition!$F$3)+(B$28*Feed_Composition!$F$4)+(B$29*Feed_Composition!$F$5)+(B$30*Feed_Composition!$F$6)+(B$31*Feed_Composition!$F$7)+(B$32*Feed_Composition!$F$8)+(B$33*Feed_Composition!$F$9)+(B$34*Feed_Composition!$F$10)+(B$35*Feed_Composition!$F$11)+(B$36*Feed_Composition!$F$12)+(B$37*Feed_Composition!$F$13)+(B$38*Feed_Composition!$F$14)+(B$39*Feed_Composition!$F$15)+(B$40*Feed_Composition!$F$16)+(B$41*Feed_Composition!$F$17)+(B$42*Feed_Composition!$F$18)+(B$43*Feed_Composition!$F$19))/B$12</f>
        <v>9.9336448598130837E-3</v>
      </c>
      <c r="C21" s="568">
        <f>((C$26*Feed_Composition!$F$2)+(C$27*Feed_Composition!$F$3)+(C$28*Feed_Composition!$F$4)+(C$29*Feed_Composition!$F$5)+(C$30*Feed_Composition!$F$6)+(C$31*Feed_Composition!$F$7)+(C$32*Feed_Composition!$F$8)+(C$33*Feed_Composition!$F$9)+(C$34*Feed_Composition!$F$10)+(C$35*Feed_Composition!$F$11)+(C$36*Feed_Composition!$F$12)+(C$37*Feed_Composition!$F$13)+(C$38*Feed_Composition!$F$14)+(C$39*Feed_Composition!$F$15)+(C$40*Feed_Composition!$F$16)+(C$41*Feed_Composition!$F$17)+(C$42*Feed_Composition!$F$18)+(C$43*Feed_Composition!$F$19))/C$12</f>
        <v>1.497329674742337E-2</v>
      </c>
      <c r="D21" s="568">
        <f>((D$26*Feed_Composition!$F$2)+(D$27*Feed_Composition!$F$3)+(D$28*Feed_Composition!$F$4)+(D$29*Feed_Composition!$F$5)+(D$30*Feed_Composition!$F$6)+(D$31*Feed_Composition!$F$7)+(D$32*Feed_Composition!$F$8)+(D$33*Feed_Composition!$F$9)+(D$34*Feed_Composition!$F$10)+(D$35*Feed_Composition!$F$11)+(D$36*Feed_Composition!$F$12)+(D$37*Feed_Composition!$F$13)+(D$38*Feed_Composition!$F$14)+(D$39*Feed_Composition!$F$15)+(D$40*Feed_Composition!$F$16)+(D$41*Feed_Composition!$F$17)+(D$42*Feed_Composition!$F$18)+(D$43*Feed_Composition!$F$19))/D$12</f>
        <v>1.4611640092399576E-2</v>
      </c>
      <c r="E21" s="568">
        <f>((E$26*Feed_Composition!$F$2)+(E$27*Feed_Composition!$F$3)+(E$28*Feed_Composition!$F$4)+(E$29*Feed_Composition!$F$5)+(E$30*Feed_Composition!$F$6)+(E$31*Feed_Composition!$F$7)+(E$32*Feed_Composition!$F$8)+(E$33*Feed_Composition!$F$9)+(E$34*Feed_Composition!$F$10)+(E$35*Feed_Composition!$F$11)+(E$36*Feed_Composition!$F$12)+(E$37*Feed_Composition!$F$13)+(E$38*Feed_Composition!$F$14)+(E$39*Feed_Composition!$F$15)+(E$40*Feed_Composition!$F$16)+(E$41*Feed_Composition!$F$17)+(E$42*Feed_Composition!$F$18)+(E$43*Feed_Composition!$F$19))/E$12</f>
        <v>1.2601997307001796E-2</v>
      </c>
      <c r="F21" s="568">
        <f>((F$26*Feed_Composition!$F$2)+(F$27*Feed_Composition!$F$3)+(F$28*Feed_Composition!$F$4)+(F$29*Feed_Composition!$F$5)+(F$30*Feed_Composition!$F$6)+(F$31*Feed_Composition!$F$7)+(F$32*Feed_Composition!$F$8)+(F$33*Feed_Composition!$F$9)+(F$34*Feed_Composition!$F$10)+(F$35*Feed_Composition!$F$11)+(F$36*Feed_Composition!$F$12)+(F$37*Feed_Composition!$F$13)+(F$38*Feed_Composition!$F$14)+(F$39*Feed_Composition!$F$15)+(F$40*Feed_Composition!$F$16)+(F$41*Feed_Composition!$F$17)+(F$42*Feed_Composition!$F$18)+(F$43*Feed_Composition!$F$19))/F$12</f>
        <v>1.4587500000000002E-2</v>
      </c>
    </row>
    <row r="22" spans="1:6">
      <c r="A22" s="1042" t="s">
        <v>332</v>
      </c>
      <c r="B22" s="1038" t="s">
        <v>333</v>
      </c>
      <c r="C22" s="1038" t="s">
        <v>375</v>
      </c>
      <c r="D22" s="1038" t="s">
        <v>372</v>
      </c>
      <c r="E22" s="1038" t="s">
        <v>371</v>
      </c>
      <c r="F22" s="1038" t="s">
        <v>367</v>
      </c>
    </row>
    <row r="23" spans="1:6">
      <c r="A23" s="164" t="s">
        <v>290</v>
      </c>
      <c r="B23" s="568">
        <f>((B$26*Feed_Composition!$G$2)+(B$27*Feed_Composition!$G$3)+(B$28*Feed_Composition!$G$4)+(B$29*Feed_Composition!$G$5)+(B$30*Feed_Composition!$G$6)+(B$31*Feed_Composition!$G$7)+(B$32*Feed_Composition!$G$8)+(B$33*Feed_Composition!$G$9)+(B$34*Feed_Composition!$G$10)+(B$35*Feed_Composition!$G$11)+(B$36*Feed_Composition!$G$12)+(B$37*Feed_Composition!$G$13)+(B$38*Feed_Composition!$G$14)+(B$39*Feed_Composition!$G$15)+(B$40*Feed_Composition!$G$16)+(B$41*Feed_Composition!$G$17)+(B$42*Feed_Composition!$G$18)+(B$43*Feed_Composition!$G$19))/B$12</f>
        <v>0.18269247886070314</v>
      </c>
      <c r="C23" s="590">
        <f>((C$26*Feed_Composition!$G$2)+(C$27*Feed_Composition!$G$3)+(C$28*Feed_Composition!$G$4)+(C$29*Feed_Composition!$G$5)+(C$30*Feed_Composition!$G$6)+(C$31*Feed_Composition!$G$7)+(C$32*Feed_Composition!$G$8)+(C$33*Feed_Composition!$G$9)+(C$34*Feed_Composition!$G$10)+(C$35*Feed_Composition!$G$11)+(C$36*Feed_Composition!$G$12)+(C$37*Feed_Composition!$G$13)+(C$38*Feed_Composition!$G$14)+(C$39*Feed_Composition!$G$15)+(C$40*Feed_Composition!$G$16)+(C$41*Feed_Composition!$G$17)+(C$42*Feed_Composition!$G$18)+(C$43*Feed_Composition!$G$19))/C$12</f>
        <v>0.16425378128764559</v>
      </c>
      <c r="D23" s="568">
        <f>((D$26*Feed_Composition!$G$2)+(D$27*Feed_Composition!$G$3)+(D$28*Feed_Composition!$G$4)+(D$29*Feed_Composition!$G$5)+(D$30*Feed_Composition!$G$6)+(D$31*Feed_Composition!$G$7)+(D$32*Feed_Composition!$G$8)+(D$33*Feed_Composition!$G$9)+(D$34*Feed_Composition!$G$10)+(D$35*Feed_Composition!$G$11)+(D$36*Feed_Composition!$G$12)+(D$37*Feed_Composition!$G$13)+(D$38*Feed_Composition!$G$14)+(D$39*Feed_Composition!$G$15)+(D$40*Feed_Composition!$G$16)+(D$41*Feed_Composition!$G$17)+(D$42*Feed_Composition!$G$18)+(D$43*Feed_Composition!$G$19))/D$12</f>
        <v>0.12542408022987211</v>
      </c>
      <c r="E23" s="568">
        <f>((E$26*Feed_Composition!$G$2)+(E$27*Feed_Composition!$G$3)+(E$28*Feed_Composition!$G$4)+(E$29*Feed_Composition!$G$5)+(E$30*Feed_Composition!$G$6)+(E$31*Feed_Composition!$G$7)+(E$32*Feed_Composition!$G$8)+(E$33*Feed_Composition!$G$9)+(E$34*Feed_Composition!$G$10)+(E$35*Feed_Composition!$G$11)+(E$36*Feed_Composition!$G$12)+(E$37*Feed_Composition!$G$13)+(E$38*Feed_Composition!$G$14)+(E$39*Feed_Composition!$G$15)+(E$40*Feed_Composition!$G$16)+(E$41*Feed_Composition!$G$17)+(E$42*Feed_Composition!$G$18)+(E$43*Feed_Composition!$G$19))/E$12</f>
        <v>0.14611714542190304</v>
      </c>
      <c r="F23" s="590">
        <f>((F$26*Feed_Composition!$G$2)+(F$27*Feed_Composition!$G$3)+(F$28*Feed_Composition!$G$4)+(F$29*Feed_Composition!$G$5)+(F$30*Feed_Composition!$G$6)+(F$31*Feed_Composition!$G$7)+(F$32*Feed_Composition!$G$8)+(F$33*Feed_Composition!$G$9)+(F$34*Feed_Composition!$G$10)+(F$35*Feed_Composition!$G$11)+(F$36*Feed_Composition!$G$12)+(F$37*Feed_Composition!$G$13)+(F$38*Feed_Composition!$G$14)+(F$39*Feed_Composition!$G$15)+(F$40*Feed_Composition!$G$16)+(F$41*Feed_Composition!$G$17)+(F$42*Feed_Composition!$G$18)+(F$43*Feed_Composition!$G$19))/F$12</f>
        <v>0.11157142857142857</v>
      </c>
    </row>
    <row r="24" spans="1:6">
      <c r="A24" s="164"/>
    </row>
    <row r="25" spans="1:6">
      <c r="A25" s="164" t="s">
        <v>307</v>
      </c>
    </row>
    <row r="26" spans="1:6">
      <c r="A26" t="s">
        <v>306</v>
      </c>
      <c r="B26" s="608">
        <v>1.25</v>
      </c>
      <c r="C26" s="608"/>
      <c r="D26" s="608"/>
      <c r="E26" s="608"/>
      <c r="F26" s="608"/>
    </row>
    <row r="27" spans="1:6">
      <c r="A27" t="s">
        <v>329</v>
      </c>
      <c r="B27" s="608">
        <v>0.05</v>
      </c>
      <c r="C27" s="608"/>
      <c r="D27" s="608"/>
      <c r="E27" s="608"/>
      <c r="F27" s="608"/>
    </row>
    <row r="28" spans="1:6">
      <c r="A28" t="s">
        <v>309</v>
      </c>
      <c r="B28" s="608">
        <v>0.56999999999999995</v>
      </c>
      <c r="C28" s="608">
        <v>2.37</v>
      </c>
      <c r="D28" s="608"/>
      <c r="E28" s="608"/>
      <c r="F28" s="608"/>
    </row>
    <row r="29" spans="1:6">
      <c r="A29" t="s">
        <v>310</v>
      </c>
      <c r="B29" s="608"/>
      <c r="C29" s="608"/>
      <c r="D29" s="608"/>
      <c r="E29" s="608"/>
      <c r="F29" s="608"/>
    </row>
    <row r="30" spans="1:6">
      <c r="A30" t="s">
        <v>311</v>
      </c>
      <c r="B30" s="608">
        <v>0.16</v>
      </c>
      <c r="C30" s="608">
        <v>0.81</v>
      </c>
      <c r="D30" s="608">
        <v>0.5</v>
      </c>
      <c r="E30" s="608">
        <v>1</v>
      </c>
      <c r="F30" s="608">
        <v>0</v>
      </c>
    </row>
    <row r="31" spans="1:6">
      <c r="A31" t="s">
        <v>312</v>
      </c>
      <c r="B31" s="608">
        <v>8.9999999999999993E-3</v>
      </c>
      <c r="C31" s="608">
        <v>7.0000000000000001E-3</v>
      </c>
      <c r="D31" s="608"/>
      <c r="E31" s="608"/>
      <c r="F31" s="608"/>
    </row>
    <row r="32" spans="1:6">
      <c r="A32" t="s">
        <v>313</v>
      </c>
      <c r="B32" s="608"/>
      <c r="C32" s="608">
        <v>3</v>
      </c>
      <c r="D32" s="608">
        <v>5.2</v>
      </c>
      <c r="E32" s="608"/>
      <c r="F32" s="608"/>
    </row>
    <row r="33" spans="1:25">
      <c r="A33" t="s">
        <v>314</v>
      </c>
      <c r="B33" s="608"/>
      <c r="C33" s="608"/>
      <c r="D33" s="608">
        <v>0.8</v>
      </c>
      <c r="E33" s="608">
        <v>9</v>
      </c>
      <c r="F33" s="608"/>
    </row>
    <row r="34" spans="1:25">
      <c r="A34" t="s">
        <v>315</v>
      </c>
      <c r="B34" s="608">
        <v>0</v>
      </c>
      <c r="C34" s="608">
        <v>1.22</v>
      </c>
      <c r="D34" s="608"/>
      <c r="E34" s="608"/>
      <c r="F34" s="608">
        <v>2</v>
      </c>
    </row>
    <row r="35" spans="1:25">
      <c r="A35" t="s">
        <v>316</v>
      </c>
      <c r="B35" s="608">
        <v>8.0000000000000002E-3</v>
      </c>
      <c r="C35" s="608">
        <v>5.2999999999999999E-2</v>
      </c>
      <c r="D35" s="608"/>
      <c r="E35" s="608"/>
      <c r="F35" s="608"/>
    </row>
    <row r="36" spans="1:25">
      <c r="A36" t="s">
        <v>317</v>
      </c>
      <c r="B36" s="608"/>
      <c r="C36" s="608">
        <v>1.0999999999999999E-2</v>
      </c>
      <c r="D36" s="608">
        <v>0.03</v>
      </c>
      <c r="E36" s="608"/>
      <c r="F36" s="608"/>
    </row>
    <row r="37" spans="1:25">
      <c r="A37" t="s">
        <v>318</v>
      </c>
      <c r="B37" s="608">
        <v>0.2</v>
      </c>
      <c r="C37" s="608"/>
      <c r="D37" s="608"/>
      <c r="E37" s="608">
        <v>5.81</v>
      </c>
      <c r="F37" s="608">
        <v>3.5</v>
      </c>
    </row>
    <row r="38" spans="1:25">
      <c r="A38" t="s">
        <v>319</v>
      </c>
      <c r="B38" s="608"/>
      <c r="C38" s="608"/>
      <c r="D38" s="608"/>
      <c r="E38" s="608">
        <v>2</v>
      </c>
      <c r="F38" s="608"/>
    </row>
    <row r="39" spans="1:25">
      <c r="A39" t="s">
        <v>320</v>
      </c>
      <c r="B39" s="608"/>
      <c r="C39" s="608"/>
      <c r="D39" s="608">
        <v>1</v>
      </c>
      <c r="E39" s="608">
        <v>3.5</v>
      </c>
      <c r="F39" s="608">
        <v>2</v>
      </c>
    </row>
    <row r="40" spans="1:25">
      <c r="A40" t="s">
        <v>327</v>
      </c>
      <c r="B40" s="608"/>
      <c r="C40" s="608"/>
      <c r="D40" s="608"/>
      <c r="E40" s="608"/>
      <c r="F40" s="608"/>
    </row>
    <row r="41" spans="1:25">
      <c r="A41" t="s">
        <v>282</v>
      </c>
      <c r="B41" s="608"/>
      <c r="C41" s="608"/>
      <c r="D41" s="608">
        <v>10.179</v>
      </c>
      <c r="E41" s="608">
        <v>23.25</v>
      </c>
      <c r="F41" s="608">
        <v>13.5</v>
      </c>
      <c r="S41" s="783"/>
    </row>
    <row r="42" spans="1:25">
      <c r="A42" t="s">
        <v>285</v>
      </c>
      <c r="B42" s="608"/>
      <c r="C42" s="608"/>
      <c r="D42" s="608"/>
      <c r="E42" s="608"/>
      <c r="F42" s="608">
        <v>7</v>
      </c>
      <c r="S42" s="783"/>
    </row>
    <row r="43" spans="1:25" ht="16.5" customHeight="1">
      <c r="A43" t="s">
        <v>286</v>
      </c>
      <c r="B43" s="608"/>
      <c r="C43" s="608"/>
      <c r="D43" s="608">
        <v>0.04</v>
      </c>
      <c r="E43" s="608"/>
      <c r="F43" s="608"/>
      <c r="S43" s="783"/>
    </row>
    <row r="44" spans="1:25" ht="15" thickBot="1"/>
    <row r="45" spans="1:25">
      <c r="A45" s="980"/>
      <c r="B45" s="1045" t="s">
        <v>297</v>
      </c>
      <c r="C45" s="981" t="s">
        <v>302</v>
      </c>
      <c r="D45" s="981" t="s">
        <v>301</v>
      </c>
      <c r="E45" s="981" t="s">
        <v>279</v>
      </c>
      <c r="F45" s="982" t="s">
        <v>303</v>
      </c>
      <c r="G45" s="1312" t="s">
        <v>356</v>
      </c>
      <c r="H45" s="1299" t="s">
        <v>378</v>
      </c>
    </row>
    <row r="46" spans="1:25" s="567" customFormat="1" ht="15" thickBot="1">
      <c r="A46" s="794" t="s">
        <v>276</v>
      </c>
      <c r="B46" s="983">
        <f>(DairyHerd!B10/15)*2</f>
        <v>47440.513696605296</v>
      </c>
      <c r="C46" s="984">
        <f>(DairyHerd!B10/15)*5</f>
        <v>118601.28424151323</v>
      </c>
      <c r="D46" s="984">
        <f>(DairyHerd!B10/15)*8</f>
        <v>189762.05478642118</v>
      </c>
      <c r="E46" s="984">
        <f>DairyHerd!B7-F46</f>
        <v>344800.87373167987</v>
      </c>
      <c r="F46" s="985">
        <f>DairyHerd!B8</f>
        <v>114933.62457722661</v>
      </c>
      <c r="G46" s="1436"/>
      <c r="H46" s="1437"/>
      <c r="I46" s="784"/>
      <c r="J46" s="785"/>
      <c r="K46" s="786"/>
      <c r="L46" s="786"/>
      <c r="M46" s="786"/>
      <c r="N46" s="786"/>
      <c r="O46" s="786"/>
      <c r="P46" s="786"/>
      <c r="Q46" s="786"/>
      <c r="R46" s="786"/>
      <c r="S46" s="786"/>
      <c r="T46" s="786"/>
      <c r="U46" s="786"/>
      <c r="V46" s="864"/>
      <c r="W46" s="864"/>
      <c r="X46" s="864"/>
      <c r="Y46" s="864"/>
    </row>
    <row r="47" spans="1:25" s="63" customFormat="1" ht="27.75" customHeight="1" thickBot="1">
      <c r="A47" s="973" t="s">
        <v>927</v>
      </c>
      <c r="B47" s="1425" t="s">
        <v>355</v>
      </c>
      <c r="C47" s="1438"/>
      <c r="D47" s="1438"/>
      <c r="E47" s="1438"/>
      <c r="F47" s="1439"/>
      <c r="G47" s="600" t="s">
        <v>353</v>
      </c>
      <c r="H47" s="600" t="s">
        <v>184</v>
      </c>
      <c r="I47" s="682"/>
      <c r="J47" s="682"/>
      <c r="K47" s="208"/>
      <c r="L47" s="208"/>
      <c r="M47" s="208"/>
      <c r="N47" s="208"/>
      <c r="O47" s="682"/>
      <c r="P47" s="682"/>
      <c r="Q47" s="682"/>
      <c r="R47" s="682"/>
      <c r="S47" s="682"/>
      <c r="T47" s="682"/>
      <c r="U47" s="682"/>
      <c r="V47" s="208"/>
      <c r="W47" s="208"/>
      <c r="X47" s="208"/>
      <c r="Y47" s="208"/>
    </row>
    <row r="48" spans="1:25" ht="22.5" customHeight="1">
      <c r="A48" s="913" t="s">
        <v>306</v>
      </c>
      <c r="B48" s="576">
        <f t="shared" ref="B48:F57" si="1">B26*B$46*365</f>
        <v>21644734.374076165</v>
      </c>
      <c r="C48" s="576">
        <f t="shared" si="1"/>
        <v>0</v>
      </c>
      <c r="D48" s="576">
        <f t="shared" si="1"/>
        <v>0</v>
      </c>
      <c r="E48" s="576">
        <f t="shared" si="1"/>
        <v>0</v>
      </c>
      <c r="F48" s="577">
        <f t="shared" si="1"/>
        <v>0</v>
      </c>
      <c r="G48" s="591">
        <f>SUM(B48:F48)/2000</f>
        <v>10822.367187038082</v>
      </c>
      <c r="H48" s="1046">
        <f>G48*2000*Feed_Composition!E2</f>
        <v>151513.14061853313</v>
      </c>
      <c r="I48" s="787"/>
      <c r="J48" s="787"/>
      <c r="K48" s="585"/>
      <c r="L48" s="585"/>
      <c r="M48" s="585"/>
      <c r="N48" s="585"/>
      <c r="P48" s="788"/>
      <c r="S48" s="783"/>
      <c r="V48" s="596"/>
      <c r="W48" s="596"/>
      <c r="X48" s="596"/>
      <c r="Y48" s="596"/>
    </row>
    <row r="49" spans="1:25">
      <c r="A49" s="913" t="s">
        <v>329</v>
      </c>
      <c r="B49" s="576">
        <f t="shared" si="1"/>
        <v>865789.37496304663</v>
      </c>
      <c r="C49" s="576">
        <f t="shared" si="1"/>
        <v>0</v>
      </c>
      <c r="D49" s="576">
        <f t="shared" si="1"/>
        <v>0</v>
      </c>
      <c r="E49" s="576">
        <f t="shared" si="1"/>
        <v>0</v>
      </c>
      <c r="F49" s="577">
        <f t="shared" si="1"/>
        <v>0</v>
      </c>
      <c r="G49" s="591">
        <f t="shared" ref="G49:G65" si="2">SUM(B49:F49)/2000</f>
        <v>432.89468748152331</v>
      </c>
      <c r="H49" s="591">
        <f>G49*2000*Feed_Composition!E3</f>
        <v>259.73681248891398</v>
      </c>
      <c r="J49" s="676"/>
      <c r="K49" s="585"/>
      <c r="L49" s="585"/>
      <c r="M49" s="585"/>
      <c r="N49" s="585"/>
      <c r="P49" s="788"/>
      <c r="R49" s="788"/>
      <c r="S49" s="783"/>
      <c r="T49" s="676"/>
      <c r="U49" s="676"/>
      <c r="V49" s="596"/>
      <c r="W49" s="596"/>
      <c r="X49" s="596"/>
      <c r="Y49" s="596"/>
    </row>
    <row r="50" spans="1:25">
      <c r="A50" s="913" t="s">
        <v>309</v>
      </c>
      <c r="B50" s="576">
        <f t="shared" si="1"/>
        <v>9869998.8745787311</v>
      </c>
      <c r="C50" s="576">
        <f t="shared" si="1"/>
        <v>102596040.93312101</v>
      </c>
      <c r="D50" s="576">
        <f t="shared" si="1"/>
        <v>0</v>
      </c>
      <c r="E50" s="576">
        <f t="shared" si="1"/>
        <v>0</v>
      </c>
      <c r="F50" s="577">
        <f t="shared" si="1"/>
        <v>0</v>
      </c>
      <c r="G50" s="591">
        <f t="shared" si="2"/>
        <v>56233.019903849869</v>
      </c>
      <c r="H50" s="591">
        <f>G50*2000*Feed_Composition!E4</f>
        <v>337398.11942309921</v>
      </c>
      <c r="I50" s="787"/>
      <c r="J50" s="676"/>
      <c r="K50" s="585"/>
      <c r="L50" s="585"/>
      <c r="M50" s="585"/>
      <c r="N50" s="585"/>
      <c r="P50" s="788"/>
      <c r="R50" s="788"/>
      <c r="S50" s="783"/>
      <c r="T50" s="676"/>
      <c r="U50" s="676"/>
      <c r="V50" s="596"/>
      <c r="W50" s="596"/>
      <c r="X50" s="596"/>
      <c r="Y50" s="596"/>
    </row>
    <row r="51" spans="1:25">
      <c r="A51" s="913" t="s">
        <v>310</v>
      </c>
      <c r="B51" s="576">
        <f t="shared" si="1"/>
        <v>0</v>
      </c>
      <c r="C51" s="576">
        <f t="shared" si="1"/>
        <v>0</v>
      </c>
      <c r="D51" s="576">
        <f t="shared" si="1"/>
        <v>0</v>
      </c>
      <c r="E51" s="576">
        <f t="shared" si="1"/>
        <v>0</v>
      </c>
      <c r="F51" s="577">
        <f t="shared" si="1"/>
        <v>0</v>
      </c>
      <c r="G51" s="591">
        <f t="shared" si="2"/>
        <v>0</v>
      </c>
      <c r="H51" s="591">
        <f>G51*2000*Feed_Composition!E5</f>
        <v>0</v>
      </c>
      <c r="I51" s="787"/>
      <c r="J51" s="676"/>
      <c r="K51" s="585"/>
      <c r="L51" s="585"/>
      <c r="M51" s="585"/>
      <c r="N51" s="585"/>
      <c r="P51" s="788"/>
      <c r="R51" s="788"/>
      <c r="S51" s="783"/>
      <c r="T51" s="676"/>
      <c r="U51" s="676"/>
      <c r="V51" s="596"/>
      <c r="W51" s="596"/>
      <c r="X51" s="596"/>
      <c r="Y51" s="596"/>
    </row>
    <row r="52" spans="1:25">
      <c r="A52" s="913" t="s">
        <v>311</v>
      </c>
      <c r="B52" s="576">
        <f t="shared" si="1"/>
        <v>2770525.9998817495</v>
      </c>
      <c r="C52" s="576">
        <f t="shared" si="1"/>
        <v>35064469.686003387</v>
      </c>
      <c r="D52" s="576">
        <f t="shared" si="1"/>
        <v>34631574.998521864</v>
      </c>
      <c r="E52" s="576">
        <f t="shared" si="1"/>
        <v>125852318.91206315</v>
      </c>
      <c r="F52" s="577">
        <f t="shared" si="1"/>
        <v>0</v>
      </c>
      <c r="G52" s="591">
        <f>SUM(B52:F52)/2000</f>
        <v>99159.444798235068</v>
      </c>
      <c r="H52" s="591">
        <f>G52*2000*Feed_Composition!E6</f>
        <v>1388232.2271752912</v>
      </c>
      <c r="I52" s="787"/>
      <c r="J52" s="676"/>
      <c r="K52" s="585"/>
      <c r="L52" s="585"/>
      <c r="M52" s="585"/>
      <c r="N52" s="585"/>
      <c r="P52" s="788"/>
      <c r="R52" s="788"/>
      <c r="S52" s="783"/>
      <c r="T52" s="676"/>
      <c r="U52" s="676"/>
      <c r="V52" s="596"/>
      <c r="W52" s="596"/>
      <c r="X52" s="596"/>
      <c r="Y52" s="596"/>
    </row>
    <row r="53" spans="1:25">
      <c r="A53" s="913" t="s">
        <v>312</v>
      </c>
      <c r="B53" s="576">
        <f t="shared" si="1"/>
        <v>155842.0874933484</v>
      </c>
      <c r="C53" s="576">
        <f t="shared" si="1"/>
        <v>303026.28123706632</v>
      </c>
      <c r="D53" s="576">
        <f t="shared" si="1"/>
        <v>0</v>
      </c>
      <c r="E53" s="576">
        <f t="shared" si="1"/>
        <v>0</v>
      </c>
      <c r="F53" s="577">
        <f t="shared" si="1"/>
        <v>0</v>
      </c>
      <c r="G53" s="591">
        <f t="shared" si="2"/>
        <v>229.43418436520736</v>
      </c>
      <c r="H53" s="591">
        <f>G53*2000*Feed_Composition!E7</f>
        <v>88561.595164970044</v>
      </c>
      <c r="I53" s="787"/>
      <c r="J53" s="676"/>
      <c r="K53" s="585"/>
      <c r="L53" s="585"/>
      <c r="M53" s="585"/>
      <c r="N53" s="585"/>
      <c r="P53" s="788"/>
      <c r="R53" s="788"/>
      <c r="S53" s="783"/>
      <c r="T53" s="676"/>
      <c r="U53" s="676"/>
      <c r="V53" s="596"/>
      <c r="W53" s="596"/>
      <c r="X53" s="596"/>
      <c r="Y53" s="596"/>
    </row>
    <row r="54" spans="1:25">
      <c r="A54" s="913" t="s">
        <v>313</v>
      </c>
      <c r="B54" s="576">
        <f t="shared" si="1"/>
        <v>0</v>
      </c>
      <c r="C54" s="576">
        <f t="shared" si="1"/>
        <v>129868406.24445699</v>
      </c>
      <c r="D54" s="576">
        <f t="shared" si="1"/>
        <v>360168379.98462743</v>
      </c>
      <c r="E54" s="576">
        <f t="shared" si="1"/>
        <v>0</v>
      </c>
      <c r="F54" s="577">
        <f t="shared" si="1"/>
        <v>0</v>
      </c>
      <c r="G54" s="591">
        <f t="shared" si="2"/>
        <v>245018.39311454221</v>
      </c>
      <c r="H54" s="591">
        <f>G54*2000*Feed_Composition!E8</f>
        <v>1421106.6800643448</v>
      </c>
      <c r="I54" s="787"/>
      <c r="J54" s="676"/>
      <c r="K54" s="585"/>
      <c r="L54" s="585"/>
      <c r="M54" s="585"/>
      <c r="N54" s="585"/>
      <c r="P54" s="788"/>
      <c r="R54" s="788"/>
      <c r="S54" s="783"/>
      <c r="T54" s="676"/>
      <c r="U54" s="676"/>
      <c r="V54" s="596"/>
      <c r="W54" s="596"/>
      <c r="X54" s="596"/>
      <c r="Y54" s="596"/>
    </row>
    <row r="55" spans="1:25">
      <c r="A55" s="913" t="s">
        <v>314</v>
      </c>
      <c r="B55" s="576">
        <f t="shared" si="1"/>
        <v>0</v>
      </c>
      <c r="C55" s="576">
        <f t="shared" si="1"/>
        <v>0</v>
      </c>
      <c r="D55" s="576">
        <f t="shared" si="1"/>
        <v>55410519.997634985</v>
      </c>
      <c r="E55" s="576">
        <f t="shared" si="1"/>
        <v>1132670870.2085683</v>
      </c>
      <c r="F55" s="577">
        <f t="shared" si="1"/>
        <v>0</v>
      </c>
      <c r="G55" s="591">
        <f t="shared" si="2"/>
        <v>594040.69510310167</v>
      </c>
      <c r="H55" s="591">
        <f>G55*2000*Feed_Composition!E9</f>
        <v>3564244.1706186095</v>
      </c>
      <c r="I55" s="787"/>
      <c r="J55" s="676"/>
      <c r="K55" s="585"/>
      <c r="L55" s="585"/>
      <c r="M55" s="585"/>
      <c r="N55" s="585"/>
      <c r="P55" s="788"/>
      <c r="R55" s="788"/>
      <c r="S55" s="783"/>
      <c r="T55" s="676"/>
      <c r="U55" s="676"/>
      <c r="V55" s="596"/>
      <c r="W55" s="596"/>
      <c r="X55" s="596"/>
      <c r="Y55" s="596"/>
    </row>
    <row r="56" spans="1:25">
      <c r="A56" s="913" t="s">
        <v>315</v>
      </c>
      <c r="B56" s="576">
        <f t="shared" si="1"/>
        <v>0</v>
      </c>
      <c r="C56" s="576">
        <f t="shared" si="1"/>
        <v>52813151.872745842</v>
      </c>
      <c r="D56" s="576">
        <f t="shared" si="1"/>
        <v>0</v>
      </c>
      <c r="E56" s="576">
        <f t="shared" si="1"/>
        <v>0</v>
      </c>
      <c r="F56" s="577">
        <f t="shared" si="1"/>
        <v>83901545.941375419</v>
      </c>
      <c r="G56" s="591">
        <f t="shared" si="2"/>
        <v>68357.34890706063</v>
      </c>
      <c r="H56" s="591">
        <f>G56*2000*Feed_Composition!E10</f>
        <v>232414.98628400613</v>
      </c>
      <c r="I56" s="787"/>
      <c r="J56" s="676"/>
      <c r="K56" s="585"/>
      <c r="L56" s="585"/>
      <c r="M56" s="585"/>
      <c r="N56" s="585"/>
      <c r="P56" s="788"/>
      <c r="R56" s="788"/>
      <c r="S56" s="783"/>
      <c r="T56" s="676"/>
      <c r="U56" s="676"/>
      <c r="V56" s="596"/>
      <c r="W56" s="596"/>
      <c r="X56" s="596"/>
      <c r="Y56" s="596"/>
    </row>
    <row r="57" spans="1:25">
      <c r="A57" s="913" t="s">
        <v>316</v>
      </c>
      <c r="B57" s="576">
        <f t="shared" si="1"/>
        <v>138526.29999408746</v>
      </c>
      <c r="C57" s="576">
        <f t="shared" si="1"/>
        <v>2294341.8436520733</v>
      </c>
      <c r="D57" s="576">
        <f t="shared" si="1"/>
        <v>0</v>
      </c>
      <c r="E57" s="576">
        <f t="shared" si="1"/>
        <v>0</v>
      </c>
      <c r="F57" s="577">
        <f t="shared" si="1"/>
        <v>0</v>
      </c>
      <c r="G57" s="591">
        <f t="shared" si="2"/>
        <v>1216.4340718230803</v>
      </c>
      <c r="H57" s="591">
        <f>G57*2000*Feed_Composition!E11</f>
        <v>486.57362872923215</v>
      </c>
      <c r="I57" s="787"/>
      <c r="J57" s="676"/>
      <c r="K57" s="585"/>
      <c r="L57" s="585"/>
      <c r="M57" s="585"/>
      <c r="N57" s="585"/>
      <c r="P57" s="788"/>
      <c r="R57" s="788"/>
      <c r="S57" s="783"/>
      <c r="T57" s="676"/>
      <c r="U57" s="676"/>
      <c r="V57" s="596"/>
      <c r="W57" s="596"/>
      <c r="X57" s="596"/>
      <c r="Y57" s="596"/>
    </row>
    <row r="58" spans="1:25">
      <c r="A58" s="913" t="s">
        <v>317</v>
      </c>
      <c r="B58" s="576">
        <f t="shared" ref="B58:F65" si="3">B36*B$46*365</f>
        <v>0</v>
      </c>
      <c r="C58" s="576">
        <f t="shared" si="3"/>
        <v>476184.15622967563</v>
      </c>
      <c r="D58" s="576">
        <f t="shared" si="3"/>
        <v>2077894.4999113118</v>
      </c>
      <c r="E58" s="576">
        <f t="shared" si="3"/>
        <v>0</v>
      </c>
      <c r="F58" s="577">
        <f t="shared" si="3"/>
        <v>0</v>
      </c>
      <c r="G58" s="591">
        <f t="shared" si="2"/>
        <v>1277.0393280704936</v>
      </c>
      <c r="H58" s="591">
        <f>G58*2000*Feed_Composition!E12</f>
        <v>0</v>
      </c>
      <c r="I58" s="787"/>
      <c r="J58" s="676"/>
      <c r="K58" s="585"/>
      <c r="L58" s="585"/>
      <c r="M58" s="585"/>
      <c r="N58" s="585"/>
      <c r="P58" s="788"/>
      <c r="R58" s="788"/>
      <c r="S58" s="783"/>
      <c r="T58" s="676"/>
      <c r="U58" s="676"/>
      <c r="V58" s="596"/>
      <c r="W58" s="596"/>
      <c r="X58" s="596"/>
      <c r="Y58" s="596"/>
    </row>
    <row r="59" spans="1:25">
      <c r="A59" s="913" t="s">
        <v>318</v>
      </c>
      <c r="B59" s="576">
        <f t="shared" si="3"/>
        <v>3463157.4998521865</v>
      </c>
      <c r="C59" s="576">
        <f t="shared" si="3"/>
        <v>0</v>
      </c>
      <c r="D59" s="576">
        <f t="shared" si="3"/>
        <v>0</v>
      </c>
      <c r="E59" s="576">
        <f t="shared" si="3"/>
        <v>731201972.87908685</v>
      </c>
      <c r="F59" s="577">
        <f t="shared" si="3"/>
        <v>146827705.397407</v>
      </c>
      <c r="G59" s="591">
        <f t="shared" si="2"/>
        <v>440746.41788817296</v>
      </c>
      <c r="H59" s="591">
        <f>G59*2000*Feed_Composition!E13</f>
        <v>2644478.5073290379</v>
      </c>
      <c r="I59" s="787"/>
      <c r="J59" s="676"/>
      <c r="K59" s="585"/>
      <c r="L59" s="585"/>
      <c r="M59" s="585"/>
      <c r="N59" s="585"/>
      <c r="P59" s="788"/>
      <c r="R59" s="788"/>
      <c r="S59" s="783"/>
      <c r="T59" s="676"/>
      <c r="U59" s="676"/>
      <c r="V59" s="596"/>
      <c r="W59" s="596"/>
      <c r="X59" s="596"/>
      <c r="Y59" s="596"/>
    </row>
    <row r="60" spans="1:25">
      <c r="A60" s="913" t="s">
        <v>319</v>
      </c>
      <c r="B60" s="576">
        <f t="shared" si="3"/>
        <v>0</v>
      </c>
      <c r="C60" s="576">
        <f t="shared" si="3"/>
        <v>0</v>
      </c>
      <c r="D60" s="576">
        <f t="shared" si="3"/>
        <v>0</v>
      </c>
      <c r="E60" s="576">
        <f t="shared" si="3"/>
        <v>251704637.8241263</v>
      </c>
      <c r="F60" s="577">
        <f t="shared" si="3"/>
        <v>0</v>
      </c>
      <c r="G60" s="591">
        <f t="shared" si="2"/>
        <v>125852.31891206316</v>
      </c>
      <c r="H60" s="591">
        <f>G60*2000*Feed_Composition!E14</f>
        <v>1610909.6820744085</v>
      </c>
      <c r="I60" s="787"/>
      <c r="J60" s="676"/>
      <c r="K60" s="585"/>
      <c r="L60" s="585"/>
      <c r="M60" s="585"/>
      <c r="N60" s="585"/>
      <c r="P60" s="788"/>
      <c r="R60" s="788"/>
      <c r="S60" s="783"/>
      <c r="T60" s="676"/>
      <c r="U60" s="676"/>
      <c r="V60" s="596"/>
      <c r="W60" s="596"/>
      <c r="X60" s="596"/>
      <c r="Y60" s="596"/>
    </row>
    <row r="61" spans="1:25">
      <c r="A61" s="913" t="s">
        <v>320</v>
      </c>
      <c r="B61" s="576">
        <f t="shared" si="3"/>
        <v>0</v>
      </c>
      <c r="C61" s="576">
        <f t="shared" si="3"/>
        <v>0</v>
      </c>
      <c r="D61" s="576">
        <f t="shared" si="3"/>
        <v>69263149.997043729</v>
      </c>
      <c r="E61" s="576">
        <f t="shared" si="3"/>
        <v>440483116.19222105</v>
      </c>
      <c r="F61" s="577">
        <f t="shared" si="3"/>
        <v>83901545.941375419</v>
      </c>
      <c r="G61" s="591">
        <f t="shared" si="2"/>
        <v>296823.90606532007</v>
      </c>
      <c r="H61" s="591">
        <f>G61*2000*Feed_Composition!E15</f>
        <v>4927276.8406843133</v>
      </c>
      <c r="I61" s="787"/>
      <c r="J61" s="676"/>
      <c r="K61" s="585"/>
      <c r="L61" s="585"/>
      <c r="M61" s="585"/>
      <c r="N61" s="585"/>
      <c r="P61" s="788"/>
      <c r="R61" s="788"/>
      <c r="S61" s="783"/>
      <c r="T61" s="676"/>
      <c r="U61" s="676"/>
      <c r="V61" s="596"/>
      <c r="W61" s="596"/>
      <c r="X61" s="596"/>
      <c r="Y61" s="596"/>
    </row>
    <row r="62" spans="1:25">
      <c r="A62" s="913" t="s">
        <v>327</v>
      </c>
      <c r="B62" s="576">
        <f t="shared" si="3"/>
        <v>0</v>
      </c>
      <c r="C62" s="576">
        <f t="shared" si="3"/>
        <v>0</v>
      </c>
      <c r="D62" s="576">
        <f t="shared" si="3"/>
        <v>0</v>
      </c>
      <c r="E62" s="576">
        <f t="shared" si="3"/>
        <v>0</v>
      </c>
      <c r="F62" s="577">
        <f t="shared" si="3"/>
        <v>0</v>
      </c>
      <c r="G62" s="591">
        <f t="shared" si="2"/>
        <v>0</v>
      </c>
      <c r="H62" s="591">
        <f>G62*2000*Feed_Composition!E16</f>
        <v>0</v>
      </c>
      <c r="I62" s="787"/>
      <c r="J62" s="676"/>
      <c r="K62" s="585"/>
      <c r="L62" s="585"/>
      <c r="M62" s="585"/>
      <c r="N62" s="585"/>
      <c r="P62" s="788"/>
      <c r="S62" s="783"/>
      <c r="T62" s="676"/>
      <c r="U62" s="676"/>
      <c r="V62" s="596"/>
      <c r="W62" s="596"/>
      <c r="X62" s="596"/>
      <c r="Y62" s="596"/>
    </row>
    <row r="63" spans="1:25">
      <c r="A63" s="913" t="s">
        <v>282</v>
      </c>
      <c r="B63" s="576">
        <f t="shared" si="3"/>
        <v>0</v>
      </c>
      <c r="C63" s="576">
        <f t="shared" si="3"/>
        <v>0</v>
      </c>
      <c r="D63" s="576">
        <f t="shared" si="3"/>
        <v>705029603.81990814</v>
      </c>
      <c r="E63" s="576">
        <f t="shared" si="3"/>
        <v>2926066414.7054682</v>
      </c>
      <c r="F63" s="577">
        <f t="shared" si="3"/>
        <v>566335435.10428417</v>
      </c>
      <c r="G63" s="591">
        <f t="shared" si="2"/>
        <v>2098715.7268148302</v>
      </c>
      <c r="H63" s="591">
        <f>G63*2000*Feed_Composition!E17</f>
        <v>10913321.779437117</v>
      </c>
      <c r="I63" s="787"/>
      <c r="J63" s="676"/>
      <c r="K63" s="585"/>
      <c r="L63" s="585"/>
      <c r="M63" s="585"/>
      <c r="N63" s="585"/>
      <c r="P63" s="788"/>
      <c r="R63" s="788"/>
      <c r="S63" s="783"/>
      <c r="T63" s="676"/>
      <c r="U63" s="676"/>
      <c r="V63" s="596"/>
      <c r="W63" s="596"/>
      <c r="X63" s="596"/>
      <c r="Y63" s="596"/>
    </row>
    <row r="64" spans="1:25">
      <c r="A64" s="913" t="s">
        <v>285</v>
      </c>
      <c r="B64" s="576">
        <f t="shared" si="3"/>
        <v>0</v>
      </c>
      <c r="C64" s="576">
        <f t="shared" si="3"/>
        <v>0</v>
      </c>
      <c r="D64" s="576">
        <f t="shared" si="3"/>
        <v>0</v>
      </c>
      <c r="E64" s="576">
        <f t="shared" si="3"/>
        <v>0</v>
      </c>
      <c r="F64" s="577">
        <f t="shared" si="3"/>
        <v>293655410.79481399</v>
      </c>
      <c r="G64" s="591">
        <f t="shared" si="2"/>
        <v>146827.705397407</v>
      </c>
      <c r="H64" s="591">
        <f>G64*2000*Feed_Composition!E18</f>
        <v>293655.410794814</v>
      </c>
      <c r="I64" s="787"/>
      <c r="J64" s="676"/>
      <c r="K64" s="585"/>
      <c r="L64" s="585"/>
      <c r="M64" s="585"/>
      <c r="N64" s="585"/>
      <c r="P64" s="788"/>
      <c r="Q64" s="585"/>
      <c r="R64" s="788"/>
      <c r="S64" s="783"/>
      <c r="T64" s="676"/>
      <c r="U64" s="676"/>
      <c r="V64" s="596"/>
      <c r="W64" s="596"/>
      <c r="X64" s="596"/>
      <c r="Y64" s="596"/>
    </row>
    <row r="65" spans="1:25" ht="15" thickBot="1">
      <c r="A65" s="1044" t="s">
        <v>286</v>
      </c>
      <c r="B65" s="578">
        <f t="shared" si="3"/>
        <v>0</v>
      </c>
      <c r="C65" s="578">
        <f t="shared" si="3"/>
        <v>0</v>
      </c>
      <c r="D65" s="578">
        <f t="shared" si="3"/>
        <v>2770525.9998817495</v>
      </c>
      <c r="E65" s="578">
        <f t="shared" si="3"/>
        <v>0</v>
      </c>
      <c r="F65" s="579">
        <f t="shared" si="3"/>
        <v>0</v>
      </c>
      <c r="G65" s="592">
        <f t="shared" si="2"/>
        <v>1385.2629999408748</v>
      </c>
      <c r="H65" s="592">
        <f>G65*2000*Feed_Composition!E19</f>
        <v>1108.2103999526998</v>
      </c>
      <c r="I65" s="787"/>
      <c r="J65" s="787"/>
      <c r="K65" s="318"/>
      <c r="L65" s="318"/>
      <c r="M65" s="318"/>
      <c r="N65" s="318"/>
      <c r="P65" s="788"/>
      <c r="Q65" s="682"/>
      <c r="T65" s="676"/>
      <c r="U65" s="676"/>
      <c r="V65" s="596"/>
      <c r="W65" s="596"/>
      <c r="X65" s="596"/>
      <c r="Y65" s="596"/>
    </row>
    <row r="66" spans="1:25">
      <c r="G66" s="841">
        <f>SUM(G48:G65)</f>
        <v>4187138.4093633019</v>
      </c>
      <c r="H66" s="842">
        <f>SUM(H48:H65)</f>
        <v>27574967.660509713</v>
      </c>
      <c r="I66" s="842" t="s">
        <v>773</v>
      </c>
      <c r="J66" s="844"/>
      <c r="L66" s="585"/>
      <c r="T66" s="789"/>
      <c r="U66" s="789"/>
    </row>
    <row r="67" spans="1:25" ht="15" thickBot="1">
      <c r="G67" s="845" t="s">
        <v>774</v>
      </c>
      <c r="H67" s="850" t="s">
        <v>348</v>
      </c>
      <c r="I67" s="851"/>
      <c r="J67" s="852"/>
      <c r="L67" s="585"/>
    </row>
    <row r="68" spans="1:25">
      <c r="L68" s="585"/>
      <c r="T68" s="676"/>
      <c r="U68" s="676"/>
    </row>
    <row r="69" spans="1:25">
      <c r="H69" s="562"/>
      <c r="J69" s="769"/>
      <c r="T69" s="676"/>
      <c r="U69" s="676"/>
    </row>
    <row r="70" spans="1:25">
      <c r="H70" s="562"/>
      <c r="T70" s="676"/>
      <c r="U70" s="676"/>
    </row>
    <row r="71" spans="1:25">
      <c r="H71" s="561"/>
      <c r="T71" s="676"/>
      <c r="U71" s="676"/>
    </row>
    <row r="72" spans="1:25">
      <c r="T72" s="676"/>
      <c r="U72" s="676"/>
    </row>
    <row r="73" spans="1:25">
      <c r="T73" s="676"/>
      <c r="U73" s="676"/>
    </row>
    <row r="74" spans="1:25">
      <c r="T74" s="676"/>
      <c r="U74" s="676"/>
    </row>
    <row r="75" spans="1:25">
      <c r="T75" s="676"/>
      <c r="U75" s="676"/>
    </row>
    <row r="76" spans="1:25">
      <c r="H76" s="792"/>
      <c r="I76" s="868"/>
      <c r="J76" s="868"/>
      <c r="K76" s="869"/>
      <c r="S76" s="790"/>
    </row>
    <row r="77" spans="1:25">
      <c r="H77" s="562"/>
      <c r="I77" s="682"/>
      <c r="J77" s="682"/>
      <c r="K77" s="682"/>
      <c r="S77" s="790"/>
      <c r="U77" s="769"/>
    </row>
    <row r="78" spans="1:25">
      <c r="S78" s="746"/>
      <c r="T78" s="870"/>
      <c r="U78" s="870"/>
    </row>
  </sheetData>
  <sheetProtection password="A4FF" sheet="1" objects="1" scenarios="1"/>
  <mergeCells count="5">
    <mergeCell ref="I6:U7"/>
    <mergeCell ref="G45:G46"/>
    <mergeCell ref="H45:H46"/>
    <mergeCell ref="B47:F47"/>
    <mergeCell ref="I8:U9"/>
  </mergeCells>
  <pageMargins left="0.7" right="0.7" top="0.75" bottom="0.75" header="0.3" footer="0.3"/>
  <pageSetup scale="35" orientation="landscape"/>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theme="2" tint="-0.499984740745262"/>
  </sheetPr>
  <dimension ref="A1:V46"/>
  <sheetViews>
    <sheetView workbookViewId="0"/>
  </sheetViews>
  <sheetFormatPr baseColWidth="10" defaultColWidth="8.83203125" defaultRowHeight="14" x14ac:dyDescent="0"/>
  <cols>
    <col min="1" max="1" width="22.33203125" style="63" customWidth="1"/>
    <col min="2" max="2" width="18.6640625" style="575" customWidth="1"/>
    <col min="3" max="5" width="14.5" style="63" customWidth="1"/>
    <col min="6" max="6" width="15.5" style="575" customWidth="1"/>
    <col min="7" max="7" width="15.1640625" style="63" customWidth="1"/>
    <col min="8" max="8" width="16.5" style="63" customWidth="1"/>
    <col min="9" max="16384" width="8.83203125" style="63"/>
  </cols>
  <sheetData>
    <row r="1" spans="1:22" ht="19" thickBot="1">
      <c r="A1" s="948" t="s">
        <v>814</v>
      </c>
    </row>
    <row r="3" spans="1:22">
      <c r="C3" s="581"/>
    </row>
    <row r="4" spans="1:22" ht="15" thickBot="1">
      <c r="C4" s="581"/>
    </row>
    <row r="5" spans="1:22" ht="43.5" customHeight="1">
      <c r="A5" s="972" t="s">
        <v>334</v>
      </c>
      <c r="B5" s="835" t="s">
        <v>336</v>
      </c>
      <c r="C5" s="835" t="s">
        <v>183</v>
      </c>
      <c r="D5" s="835" t="s">
        <v>337</v>
      </c>
      <c r="E5" s="835" t="s">
        <v>337</v>
      </c>
      <c r="F5" s="835" t="s">
        <v>929</v>
      </c>
      <c r="G5" s="837" t="s">
        <v>357</v>
      </c>
      <c r="H5" s="838" t="s">
        <v>358</v>
      </c>
    </row>
    <row r="6" spans="1:22" ht="17" thickBot="1">
      <c r="A6" s="794"/>
      <c r="B6" s="795" t="s">
        <v>184</v>
      </c>
      <c r="C6" s="1304" t="s">
        <v>339</v>
      </c>
      <c r="D6" s="1304"/>
      <c r="E6" s="902" t="s">
        <v>340</v>
      </c>
      <c r="F6" s="795" t="s">
        <v>930</v>
      </c>
      <c r="G6" s="902" t="s">
        <v>359</v>
      </c>
      <c r="H6" s="797" t="s">
        <v>359</v>
      </c>
      <c r="I6" s="575"/>
    </row>
    <row r="7" spans="1:22">
      <c r="A7" s="794"/>
      <c r="B7" s="798"/>
      <c r="C7" s="682"/>
      <c r="D7" s="682"/>
      <c r="E7" s="682"/>
      <c r="F7" s="746"/>
      <c r="G7" s="682"/>
      <c r="H7" s="799"/>
      <c r="I7" s="575"/>
      <c r="K7" s="718" t="s">
        <v>650</v>
      </c>
      <c r="L7" s="719"/>
      <c r="M7" s="719"/>
      <c r="N7" s="719"/>
      <c r="O7" s="719"/>
      <c r="P7" s="719"/>
      <c r="Q7" s="719"/>
      <c r="R7" s="719"/>
      <c r="S7" s="719"/>
      <c r="T7" s="719"/>
      <c r="U7" s="719"/>
      <c r="V7" s="699"/>
    </row>
    <row r="8" spans="1:22">
      <c r="A8" s="800" t="s">
        <v>338</v>
      </c>
      <c r="B8" s="801"/>
      <c r="C8" s="802"/>
      <c r="D8" s="802"/>
      <c r="E8" s="802"/>
      <c r="F8" s="803"/>
      <c r="G8" s="802"/>
      <c r="H8" s="804"/>
      <c r="I8" s="575"/>
      <c r="K8" s="1288" t="s">
        <v>797</v>
      </c>
      <c r="L8" s="1321"/>
      <c r="M8" s="1321"/>
      <c r="N8" s="1321"/>
      <c r="O8" s="1321"/>
      <c r="P8" s="1321"/>
      <c r="Q8" s="1321"/>
      <c r="R8" s="1321"/>
      <c r="S8" s="1321"/>
      <c r="T8" s="1321"/>
      <c r="U8" s="1321"/>
      <c r="V8" s="1322"/>
    </row>
    <row r="9" spans="1:22">
      <c r="A9" s="594" t="s">
        <v>341</v>
      </c>
      <c r="B9" s="682">
        <v>1350</v>
      </c>
      <c r="C9" s="783">
        <v>7.9504000000000019E-2</v>
      </c>
      <c r="D9" s="783">
        <v>137.21598615384616</v>
      </c>
      <c r="E9" s="783">
        <v>2.1983437498656655</v>
      </c>
      <c r="F9" s="808">
        <f>DairyHerd!B7-F16</f>
        <v>344800.87373167987</v>
      </c>
      <c r="G9" s="676">
        <f>F9*C9*365</f>
        <v>10005762.762784671</v>
      </c>
      <c r="H9" s="809">
        <f>F9*D9*365</f>
        <v>17268950049.26709</v>
      </c>
      <c r="K9" s="1288"/>
      <c r="L9" s="1321"/>
      <c r="M9" s="1321"/>
      <c r="N9" s="1321"/>
      <c r="O9" s="1321"/>
      <c r="P9" s="1321"/>
      <c r="Q9" s="1321"/>
      <c r="R9" s="1321"/>
      <c r="S9" s="1321"/>
      <c r="T9" s="1321"/>
      <c r="U9" s="1321"/>
      <c r="V9" s="1322"/>
    </row>
    <row r="10" spans="1:22">
      <c r="A10" s="594" t="s">
        <v>112</v>
      </c>
      <c r="B10" s="682">
        <v>2000</v>
      </c>
      <c r="C10" s="783">
        <v>0.15</v>
      </c>
      <c r="D10" s="783">
        <v>137.21598615384616</v>
      </c>
      <c r="E10" s="783">
        <v>2.1983437498656655</v>
      </c>
      <c r="F10" s="808">
        <f>DairyHerd!B12</f>
        <v>5523.8040000000001</v>
      </c>
      <c r="G10" s="676">
        <f>F10*C10*365</f>
        <v>302428.26900000003</v>
      </c>
      <c r="H10" s="809">
        <f>F10*D10*365</f>
        <v>276653287.81090438</v>
      </c>
      <c r="K10" s="1288"/>
      <c r="L10" s="1321"/>
      <c r="M10" s="1321"/>
      <c r="N10" s="1321"/>
      <c r="O10" s="1321"/>
      <c r="P10" s="1321"/>
      <c r="Q10" s="1321"/>
      <c r="R10" s="1321"/>
      <c r="S10" s="1321"/>
      <c r="T10" s="1321"/>
      <c r="U10" s="1321"/>
      <c r="V10" s="1322"/>
    </row>
    <row r="11" spans="1:22">
      <c r="A11" s="594"/>
      <c r="B11" s="682"/>
      <c r="C11" s="783"/>
      <c r="D11" s="783"/>
      <c r="E11" s="783"/>
      <c r="F11" s="808"/>
      <c r="G11" s="676"/>
      <c r="H11" s="809"/>
      <c r="K11" s="1288"/>
      <c r="L11" s="1321"/>
      <c r="M11" s="1321"/>
      <c r="N11" s="1321"/>
      <c r="O11" s="1321"/>
      <c r="P11" s="1321"/>
      <c r="Q11" s="1321"/>
      <c r="R11" s="1321"/>
      <c r="S11" s="1321"/>
      <c r="T11" s="1321"/>
      <c r="U11" s="1321"/>
      <c r="V11" s="1322"/>
    </row>
    <row r="12" spans="1:22">
      <c r="A12" s="594"/>
      <c r="B12" s="682"/>
      <c r="C12" s="783"/>
      <c r="D12" s="783"/>
      <c r="E12" s="783"/>
      <c r="F12" s="808"/>
      <c r="G12" s="676"/>
      <c r="H12" s="809"/>
      <c r="K12" s="721"/>
      <c r="L12" s="725" t="s">
        <v>729</v>
      </c>
      <c r="M12" s="698"/>
      <c r="N12" s="698"/>
      <c r="O12" s="698"/>
      <c r="P12" s="698"/>
      <c r="Q12" s="698"/>
      <c r="R12" s="698"/>
      <c r="S12" s="698"/>
      <c r="T12" s="698"/>
      <c r="U12" s="698"/>
      <c r="V12" s="700"/>
    </row>
    <row r="13" spans="1:22">
      <c r="A13" s="594"/>
      <c r="B13" s="682"/>
      <c r="C13" s="783"/>
      <c r="D13" s="783"/>
      <c r="E13" s="783"/>
      <c r="F13" s="808"/>
      <c r="G13" s="676"/>
      <c r="H13" s="809"/>
      <c r="K13" s="721"/>
      <c r="L13" s="725" t="s">
        <v>728</v>
      </c>
      <c r="M13" s="698"/>
      <c r="N13" s="698"/>
      <c r="O13" s="698"/>
      <c r="P13" s="698"/>
      <c r="Q13" s="698"/>
      <c r="R13" s="698"/>
      <c r="S13" s="698"/>
      <c r="T13" s="698"/>
      <c r="U13" s="698"/>
      <c r="V13" s="700"/>
    </row>
    <row r="14" spans="1:22">
      <c r="A14" s="594"/>
      <c r="B14" s="682"/>
      <c r="C14" s="783"/>
      <c r="D14" s="783"/>
      <c r="E14" s="783"/>
      <c r="F14" s="808"/>
      <c r="G14" s="676"/>
      <c r="H14" s="809"/>
      <c r="K14" s="839"/>
      <c r="L14" s="698"/>
      <c r="M14" s="698"/>
      <c r="N14" s="698"/>
      <c r="O14" s="698"/>
      <c r="P14" s="698"/>
      <c r="Q14" s="698"/>
      <c r="R14" s="698"/>
      <c r="S14" s="698"/>
      <c r="T14" s="698"/>
      <c r="U14" s="698"/>
      <c r="V14" s="700"/>
    </row>
    <row r="15" spans="1:22" ht="16">
      <c r="A15" s="800" t="s">
        <v>342</v>
      </c>
      <c r="B15" s="802"/>
      <c r="C15" s="812"/>
      <c r="D15" s="812"/>
      <c r="E15" s="812"/>
      <c r="F15" s="813"/>
      <c r="G15" s="669"/>
      <c r="H15" s="814"/>
      <c r="K15" s="839" t="s">
        <v>928</v>
      </c>
      <c r="L15" s="698"/>
      <c r="M15" s="698"/>
      <c r="N15" s="698"/>
      <c r="O15" s="698"/>
      <c r="P15" s="698"/>
      <c r="Q15" s="698"/>
      <c r="R15" s="698"/>
      <c r="S15" s="698"/>
      <c r="T15" s="698"/>
      <c r="U15" s="698"/>
      <c r="V15" s="700"/>
    </row>
    <row r="16" spans="1:22" ht="15" thickBot="1">
      <c r="A16" s="594" t="s">
        <v>343</v>
      </c>
      <c r="B16" s="682">
        <v>1500</v>
      </c>
      <c r="C16" s="783">
        <v>6.3085577073333329E-2</v>
      </c>
      <c r="D16" s="783">
        <v>84.685936923076923</v>
      </c>
      <c r="E16" s="783">
        <v>1.3567573673786977</v>
      </c>
      <c r="F16" s="808">
        <f>DairyHerd!B8</f>
        <v>114933.62457722661</v>
      </c>
      <c r="G16" s="676">
        <f>F16*C16*365</f>
        <v>2646488.7215282284</v>
      </c>
      <c r="H16" s="809">
        <f>F16*D16*365</f>
        <v>3552640513.66998</v>
      </c>
      <c r="K16" s="702"/>
      <c r="L16" s="703"/>
      <c r="M16" s="703"/>
      <c r="N16" s="703"/>
      <c r="O16" s="703"/>
      <c r="P16" s="703"/>
      <c r="Q16" s="703"/>
      <c r="R16" s="703"/>
      <c r="S16" s="703"/>
      <c r="T16" s="703"/>
      <c r="U16" s="703"/>
      <c r="V16" s="704"/>
    </row>
    <row r="17" spans="1:8">
      <c r="A17" s="594"/>
      <c r="B17" s="682"/>
      <c r="C17" s="783"/>
      <c r="D17" s="783"/>
      <c r="E17" s="783"/>
      <c r="F17" s="808"/>
      <c r="G17" s="676"/>
      <c r="H17" s="809"/>
    </row>
    <row r="18" spans="1:8">
      <c r="A18" s="594"/>
      <c r="B18" s="682"/>
      <c r="C18" s="783"/>
      <c r="D18" s="783"/>
      <c r="E18" s="783"/>
      <c r="F18" s="808"/>
      <c r="G18" s="676"/>
      <c r="H18" s="809"/>
    </row>
    <row r="19" spans="1:8">
      <c r="A19" s="594"/>
      <c r="B19" s="682"/>
      <c r="C19" s="783"/>
      <c r="D19" s="783"/>
      <c r="E19" s="783"/>
      <c r="F19" s="808"/>
      <c r="G19" s="676"/>
      <c r="H19" s="809"/>
    </row>
    <row r="20" spans="1:8">
      <c r="A20" s="800" t="s">
        <v>344</v>
      </c>
      <c r="B20" s="802"/>
      <c r="C20" s="812"/>
      <c r="D20" s="812"/>
      <c r="E20" s="812"/>
      <c r="F20" s="813"/>
      <c r="G20" s="669"/>
      <c r="H20" s="814"/>
    </row>
    <row r="21" spans="1:8">
      <c r="A21" s="594" t="s">
        <v>345</v>
      </c>
      <c r="B21" s="682">
        <v>700</v>
      </c>
      <c r="C21" s="783">
        <v>5.5021899999999992E-2</v>
      </c>
      <c r="D21" s="783">
        <v>49.730754117647052</v>
      </c>
      <c r="E21" s="783">
        <v>0.79673874418728741</v>
      </c>
      <c r="F21" s="808">
        <f>DairyHerd!B10/15*8</f>
        <v>189762.05478642118</v>
      </c>
      <c r="G21" s="676">
        <f>F21*C21*365</f>
        <v>3810990.1128223403</v>
      </c>
      <c r="H21" s="809">
        <f>F21*D21*365</f>
        <v>3444508681.916688</v>
      </c>
    </row>
    <row r="22" spans="1:8">
      <c r="A22" s="594" t="s">
        <v>346</v>
      </c>
      <c r="B22" s="682">
        <v>132</v>
      </c>
      <c r="C22" s="783">
        <v>1.3931399999999998E-2</v>
      </c>
      <c r="D22" s="783">
        <v>17.814871764705885</v>
      </c>
      <c r="E22" s="783">
        <v>0.28541289609426279</v>
      </c>
      <c r="F22" s="808">
        <f>(DairyHerd!B10/15)*2</f>
        <v>47440.513696605296</v>
      </c>
      <c r="G22" s="676">
        <f>F22*C22*365</f>
        <v>241233.16196720372</v>
      </c>
      <c r="H22" s="809">
        <f>F22*D22*365</f>
        <v>308478533.80423069</v>
      </c>
    </row>
    <row r="23" spans="1:8" ht="15" thickBot="1">
      <c r="A23" s="826" t="s">
        <v>347</v>
      </c>
      <c r="B23" s="827">
        <v>230</v>
      </c>
      <c r="C23" s="829">
        <v>2.4654300000000004E-2</v>
      </c>
      <c r="D23" s="829">
        <v>28.570165882352942</v>
      </c>
      <c r="E23" s="829">
        <v>0.45772396759716311</v>
      </c>
      <c r="F23" s="830">
        <f>DairyHerd!B10/15*5</f>
        <v>118601.28424151323</v>
      </c>
      <c r="G23" s="756">
        <f>F23*C23*365</f>
        <v>1067271.5493575721</v>
      </c>
      <c r="H23" s="831">
        <f>F23*D23*365</f>
        <v>1236787303.0936456</v>
      </c>
    </row>
    <row r="24" spans="1:8" ht="21" customHeight="1">
      <c r="E24" s="943" t="s">
        <v>32</v>
      </c>
      <c r="F24" s="944">
        <f>SUM(F9:F23)</f>
        <v>821062.15503344627</v>
      </c>
      <c r="G24" s="945">
        <f>SUM(G9:G23)</f>
        <v>18074174.577460013</v>
      </c>
      <c r="H24" s="945">
        <f>SUM(H9:H23)</f>
        <v>26088018369.562538</v>
      </c>
    </row>
    <row r="25" spans="1:8">
      <c r="G25" s="770" t="s">
        <v>765</v>
      </c>
      <c r="H25" s="870" t="s">
        <v>766</v>
      </c>
    </row>
    <row r="45" spans="2:7">
      <c r="B45" s="63"/>
      <c r="C45" s="575"/>
      <c r="F45" s="63"/>
      <c r="G45" s="575"/>
    </row>
    <row r="46" spans="2:7">
      <c r="B46" s="63"/>
      <c r="C46" s="575"/>
      <c r="F46" s="63"/>
      <c r="G46" s="575"/>
    </row>
  </sheetData>
  <sheetProtection password="A4FF" sheet="1" objects="1" scenarios="1"/>
  <mergeCells count="2">
    <mergeCell ref="C6:D6"/>
    <mergeCell ref="K8:V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V63"/>
  <sheetViews>
    <sheetView topLeftCell="A19" workbookViewId="0">
      <selection activeCell="A54" sqref="A54"/>
    </sheetView>
  </sheetViews>
  <sheetFormatPr baseColWidth="10" defaultColWidth="8.83203125" defaultRowHeight="14" x14ac:dyDescent="0"/>
  <cols>
    <col min="1" max="1" width="36.5" customWidth="1"/>
    <col min="2" max="2" width="19.6640625" style="63" customWidth="1"/>
    <col min="3" max="3" width="12.5" style="63" customWidth="1"/>
    <col min="4" max="4" width="12.83203125" customWidth="1"/>
    <col min="5" max="5" width="10.83203125" customWidth="1"/>
    <col min="6" max="6" width="12.83203125" style="5" customWidth="1"/>
    <col min="7" max="7" width="10.83203125" style="5" customWidth="1"/>
    <col min="8" max="8" width="10.6640625" style="5" customWidth="1"/>
    <col min="11" max="11" width="36.5" customWidth="1"/>
    <col min="12" max="12" width="17.83203125" style="63" customWidth="1"/>
    <col min="13" max="13" width="13" style="63" customWidth="1"/>
    <col min="14" max="14" width="13.5" customWidth="1"/>
    <col min="15" max="15" width="13.83203125" customWidth="1"/>
    <col min="16" max="16" width="11.83203125" customWidth="1"/>
    <col min="17" max="17" width="12" style="564" customWidth="1"/>
    <col min="18" max="18" width="15.5" style="564" customWidth="1"/>
  </cols>
  <sheetData>
    <row r="1" spans="1:18" ht="34.5" customHeight="1" thickBot="1">
      <c r="A1" s="1253" t="s">
        <v>1073</v>
      </c>
      <c r="C1" s="964" t="s">
        <v>1051</v>
      </c>
      <c r="D1" s="1225" t="s">
        <v>508</v>
      </c>
      <c r="E1" s="1226" t="s">
        <v>1079</v>
      </c>
      <c r="F1" s="1227" t="s">
        <v>1051</v>
      </c>
      <c r="G1" s="1228" t="s">
        <v>508</v>
      </c>
      <c r="H1" s="1229" t="s">
        <v>1079</v>
      </c>
      <c r="M1" s="1227" t="s">
        <v>1051</v>
      </c>
      <c r="N1" s="1228" t="s">
        <v>508</v>
      </c>
      <c r="O1" s="1229" t="s">
        <v>1079</v>
      </c>
      <c r="P1" s="1227" t="s">
        <v>1051</v>
      </c>
      <c r="Q1" s="1228" t="s">
        <v>508</v>
      </c>
      <c r="R1" s="1229" t="s">
        <v>1079</v>
      </c>
    </row>
    <row r="2" spans="1:18" ht="15" thickBot="1">
      <c r="A2" s="1090" t="s">
        <v>984</v>
      </c>
      <c r="C2" s="1274" t="s">
        <v>1077</v>
      </c>
      <c r="D2" s="1275"/>
      <c r="E2" s="1276"/>
      <c r="F2" s="1277" t="s">
        <v>1078</v>
      </c>
      <c r="G2" s="1278"/>
      <c r="H2" s="1279"/>
      <c r="K2" s="1090" t="s">
        <v>984</v>
      </c>
      <c r="M2" s="1277" t="s">
        <v>1056</v>
      </c>
      <c r="N2" s="1278"/>
      <c r="O2" s="1278"/>
      <c r="P2" s="1280" t="s">
        <v>1057</v>
      </c>
      <c r="Q2" s="1278"/>
      <c r="R2" s="1281"/>
    </row>
    <row r="3" spans="1:18">
      <c r="A3" t="s">
        <v>1075</v>
      </c>
      <c r="C3" s="1221">
        <f>Egg_P_Balance!B3</f>
        <v>5442954.11229592</v>
      </c>
      <c r="D3" s="8"/>
      <c r="E3" s="8"/>
      <c r="F3" s="1222">
        <f>C3/2000</f>
        <v>2721.47705614796</v>
      </c>
      <c r="G3" s="1223"/>
      <c r="H3" s="1224"/>
      <c r="K3" t="s">
        <v>1075</v>
      </c>
      <c r="M3" s="1221">
        <f>CONVERT(C3,"lbm","kg")</f>
        <v>2468882.4555975529</v>
      </c>
      <c r="N3" s="8"/>
      <c r="O3" s="8"/>
      <c r="P3" s="1222">
        <f>M3/1000</f>
        <v>2468.882455597553</v>
      </c>
      <c r="Q3" s="1223"/>
      <c r="R3" s="1224"/>
    </row>
    <row r="4" spans="1:18">
      <c r="A4" t="s">
        <v>360</v>
      </c>
      <c r="C4" s="1221">
        <f>Egg_Manure!H27</f>
        <v>3347127.6252038339</v>
      </c>
      <c r="D4" s="8"/>
      <c r="E4" s="8"/>
      <c r="F4" s="1222">
        <f>C4/2000</f>
        <v>1673.5638126019169</v>
      </c>
      <c r="G4" s="1223"/>
      <c r="H4" s="1224"/>
      <c r="K4" t="s">
        <v>360</v>
      </c>
      <c r="M4" s="1221">
        <f>CONVERT(C4,"lbm","kg")</f>
        <v>1518231.5522086788</v>
      </c>
      <c r="N4" s="676"/>
      <c r="O4" s="208"/>
      <c r="P4" s="1222">
        <f>M4/1000</f>
        <v>1518.2315522086787</v>
      </c>
      <c r="Q4" s="1223"/>
      <c r="R4" s="1224"/>
    </row>
    <row r="5" spans="1:18">
      <c r="A5" t="s">
        <v>638</v>
      </c>
      <c r="C5" s="1007"/>
      <c r="D5" s="599">
        <f>Egg_P_Balance!D6</f>
        <v>1157951.246322772</v>
      </c>
      <c r="E5" s="8"/>
      <c r="F5" s="1222"/>
      <c r="G5" s="1223">
        <f t="shared" ref="G5:G7" si="0">D5/2000</f>
        <v>578.97562316138601</v>
      </c>
      <c r="H5" s="1224"/>
      <c r="K5" t="s">
        <v>638</v>
      </c>
      <c r="M5" s="1007"/>
      <c r="N5" s="676">
        <f t="shared" ref="N5:N7" si="1">CONVERT(D5,"lbm","kg")</f>
        <v>525237.85016399994</v>
      </c>
      <c r="O5" s="208"/>
      <c r="P5" s="1222"/>
      <c r="Q5" s="1223">
        <f t="shared" ref="Q5:Q7" si="2">N5/1000</f>
        <v>525.23785016399995</v>
      </c>
      <c r="R5" s="1224"/>
    </row>
    <row r="6" spans="1:18">
      <c r="A6" t="s">
        <v>692</v>
      </c>
      <c r="C6" s="1007"/>
      <c r="D6" s="599">
        <f>Egg_P_Balance!D7</f>
        <v>102268.44007783911</v>
      </c>
      <c r="E6" s="8"/>
      <c r="F6" s="1222"/>
      <c r="G6" s="1223">
        <f t="shared" si="0"/>
        <v>51.134220038919558</v>
      </c>
      <c r="H6" s="1224"/>
      <c r="K6" t="s">
        <v>692</v>
      </c>
      <c r="M6" s="1007"/>
      <c r="N6" s="676">
        <f t="shared" si="1"/>
        <v>46388.184111110029</v>
      </c>
      <c r="O6" s="208"/>
      <c r="P6" s="1222"/>
      <c r="Q6" s="1223">
        <f t="shared" si="2"/>
        <v>46.388184111110029</v>
      </c>
      <c r="R6" s="1224"/>
    </row>
    <row r="7" spans="1:18">
      <c r="A7" t="s">
        <v>693</v>
      </c>
      <c r="C7" s="1007"/>
      <c r="D7" s="599">
        <f>Egg_P_Balance!D8</f>
        <v>99370.599879533809</v>
      </c>
      <c r="E7" s="8"/>
      <c r="F7" s="1222"/>
      <c r="G7" s="1223">
        <f t="shared" si="0"/>
        <v>49.685299939766907</v>
      </c>
      <c r="H7" s="1224"/>
      <c r="K7" t="s">
        <v>693</v>
      </c>
      <c r="M7" s="1007"/>
      <c r="N7" s="676">
        <f t="shared" si="1"/>
        <v>45073.745907679455</v>
      </c>
      <c r="O7" s="208"/>
      <c r="P7" s="1222"/>
      <c r="Q7" s="1223">
        <f t="shared" si="2"/>
        <v>45.073745907679452</v>
      </c>
      <c r="R7" s="1224"/>
    </row>
    <row r="8" spans="1:18">
      <c r="A8" t="s">
        <v>697</v>
      </c>
      <c r="C8" s="1007"/>
      <c r="D8" s="8"/>
      <c r="E8" s="599">
        <f>Egg_P_Balance!B10</f>
        <v>18.561680569052918</v>
      </c>
      <c r="F8" s="1222"/>
      <c r="G8" s="1223"/>
      <c r="H8" s="1224">
        <f>E8/2000</f>
        <v>9.2808402845264582E-3</v>
      </c>
      <c r="K8" t="s">
        <v>697</v>
      </c>
      <c r="M8" s="1007"/>
      <c r="N8" s="208"/>
      <c r="O8" s="676">
        <f>CONVERT(E8,"lbm","kg")</f>
        <v>8.419436680499663</v>
      </c>
      <c r="P8" s="1222"/>
      <c r="Q8" s="1223"/>
      <c r="R8" s="1230">
        <f>O8/1000</f>
        <v>8.4194366804996625E-3</v>
      </c>
    </row>
    <row r="9" spans="1:18">
      <c r="A9" t="s">
        <v>700</v>
      </c>
      <c r="C9" s="1221">
        <f>Egg_P_Balance!D12</f>
        <v>26180.15478188451</v>
      </c>
      <c r="D9" s="8"/>
      <c r="E9" s="8"/>
      <c r="F9" s="1222">
        <f>C9/2000</f>
        <v>13.090077390942255</v>
      </c>
      <c r="G9" s="1223"/>
      <c r="H9" s="1224"/>
      <c r="K9" t="s">
        <v>700</v>
      </c>
      <c r="M9" s="1221">
        <f>CONVERT(C9,"lbm","kg")</f>
        <v>11875.11845448183</v>
      </c>
      <c r="N9" s="676"/>
      <c r="O9" s="208"/>
      <c r="P9" s="1222">
        <f>M9/1000</f>
        <v>11.87511845448183</v>
      </c>
      <c r="Q9" s="1223"/>
      <c r="R9" s="1224"/>
    </row>
    <row r="10" spans="1:18">
      <c r="A10" s="1091" t="s">
        <v>983</v>
      </c>
      <c r="C10" s="1007"/>
      <c r="D10" s="8"/>
      <c r="E10" s="8"/>
      <c r="F10" s="1222"/>
      <c r="G10" s="1223"/>
      <c r="H10" s="1224"/>
      <c r="K10" s="1091" t="s">
        <v>983</v>
      </c>
      <c r="M10" s="1007"/>
      <c r="N10" s="8"/>
      <c r="O10" s="8"/>
      <c r="P10" s="1222"/>
      <c r="Q10" s="1223"/>
      <c r="R10" s="1224"/>
    </row>
    <row r="11" spans="1:18">
      <c r="A11" t="s">
        <v>1076</v>
      </c>
      <c r="C11" s="1221">
        <f>BroilerPBalance!B3</f>
        <v>2892762.2398049068</v>
      </c>
      <c r="D11" s="8"/>
      <c r="E11" s="8"/>
      <c r="F11" s="1222">
        <f t="shared" ref="F11:F12" si="3">C11/2000</f>
        <v>1446.3811199024533</v>
      </c>
      <c r="G11" s="1223"/>
      <c r="H11" s="1224"/>
      <c r="K11" t="s">
        <v>1076</v>
      </c>
      <c r="M11" s="1221">
        <f t="shared" ref="M11:M12" si="4">CONVERT(C11,"lbm","kg")</f>
        <v>1312134.8801996158</v>
      </c>
      <c r="N11" s="8"/>
      <c r="O11" s="8"/>
      <c r="P11" s="1222">
        <f>M11/1000</f>
        <v>1312.1348801996157</v>
      </c>
      <c r="Q11" s="1223"/>
      <c r="R11" s="1224"/>
    </row>
    <row r="12" spans="1:18">
      <c r="A12" t="s">
        <v>360</v>
      </c>
      <c r="C12" s="1221">
        <f>Broiler_Manure!H25</f>
        <v>1408597.1894504991</v>
      </c>
      <c r="D12" s="8"/>
      <c r="E12" s="8"/>
      <c r="F12" s="1222">
        <f t="shared" si="3"/>
        <v>704.29859472524959</v>
      </c>
      <c r="G12" s="1223"/>
      <c r="H12" s="1224"/>
      <c r="K12" t="s">
        <v>360</v>
      </c>
      <c r="M12" s="1221">
        <f t="shared" si="4"/>
        <v>638928.93753819098</v>
      </c>
      <c r="N12" s="599"/>
      <c r="O12" s="8"/>
      <c r="P12" s="1222">
        <f>M12/1000</f>
        <v>638.92893753819101</v>
      </c>
      <c r="Q12" s="1223"/>
      <c r="R12" s="1224"/>
    </row>
    <row r="13" spans="1:18">
      <c r="A13" t="s">
        <v>607</v>
      </c>
      <c r="C13" s="1007"/>
      <c r="D13" s="599">
        <f>BroilerPBalance!D6</f>
        <v>1350322.5365326507</v>
      </c>
      <c r="E13" s="8"/>
      <c r="F13" s="1222"/>
      <c r="G13" s="1223">
        <f t="shared" ref="G13:H16" si="5">D13/2000</f>
        <v>675.16126826632535</v>
      </c>
      <c r="H13" s="1224"/>
      <c r="K13" t="s">
        <v>607</v>
      </c>
      <c r="M13" s="1007"/>
      <c r="N13" s="676">
        <f t="shared" ref="N13:N14" si="6">CONVERT(D13,"lbm","kg")</f>
        <v>612495.99961025664</v>
      </c>
      <c r="O13" s="8"/>
      <c r="P13" s="1222"/>
      <c r="Q13" s="1223">
        <f t="shared" ref="Q13:Q14" si="7">N13/1000</f>
        <v>612.4959996102566</v>
      </c>
      <c r="R13" s="1224"/>
    </row>
    <row r="14" spans="1:18">
      <c r="A14" t="s">
        <v>818</v>
      </c>
      <c r="C14" s="1007"/>
      <c r="D14" s="599">
        <f>BroilerPBalance!D7</f>
        <v>9787.7066480174981</v>
      </c>
      <c r="E14" s="8"/>
      <c r="F14" s="1222"/>
      <c r="G14" s="1223">
        <f t="shared" si="5"/>
        <v>4.8938533240087487</v>
      </c>
      <c r="H14" s="1224"/>
      <c r="K14" t="s">
        <v>818</v>
      </c>
      <c r="M14" s="1007"/>
      <c r="N14" s="676">
        <f t="shared" si="6"/>
        <v>4439.6290553390136</v>
      </c>
      <c r="O14" s="8"/>
      <c r="P14" s="1222"/>
      <c r="Q14" s="1223">
        <f t="shared" si="7"/>
        <v>4.4396290553390134</v>
      </c>
      <c r="R14" s="1224"/>
    </row>
    <row r="15" spans="1:18">
      <c r="A15" t="s">
        <v>1100</v>
      </c>
      <c r="C15" s="1221">
        <f>BroilerPBalance!C10</f>
        <v>9275.7150355089634</v>
      </c>
      <c r="D15" s="599"/>
      <c r="E15" s="8"/>
      <c r="F15" s="1222"/>
      <c r="G15" s="1223"/>
      <c r="H15" s="1224"/>
      <c r="K15" t="str">
        <f>A15</f>
        <v>Broiler Disposal</v>
      </c>
      <c r="M15" s="1221">
        <f t="shared" ref="M15" si="8">CONVERT(C15,"lbm","kg")</f>
        <v>4207.3935664011451</v>
      </c>
      <c r="N15" s="676"/>
      <c r="O15" s="8"/>
      <c r="P15" s="1222">
        <f>M15/1000</f>
        <v>4.2073935664011453</v>
      </c>
      <c r="Q15" s="1223"/>
      <c r="R15" s="1224"/>
    </row>
    <row r="16" spans="1:18">
      <c r="A16" t="s">
        <v>613</v>
      </c>
      <c r="C16" s="1007"/>
      <c r="D16" s="8"/>
      <c r="E16" s="599">
        <f>BroilerPBalance!B8</f>
        <v>13044.53446645706</v>
      </c>
      <c r="F16" s="1222"/>
      <c r="G16" s="1223"/>
      <c r="H16" s="1224">
        <f t="shared" si="5"/>
        <v>6.5222672332285301</v>
      </c>
      <c r="K16" t="s">
        <v>613</v>
      </c>
      <c r="M16" s="1007"/>
      <c r="N16" s="8"/>
      <c r="O16" s="676">
        <f>CONVERT(E16,"lbm","kg")</f>
        <v>5916.9013041869439</v>
      </c>
      <c r="P16" s="1222"/>
      <c r="Q16" s="1223"/>
      <c r="R16" s="1224">
        <f>N16/1000</f>
        <v>0</v>
      </c>
    </row>
    <row r="17" spans="1:21">
      <c r="A17" s="1092" t="s">
        <v>614</v>
      </c>
      <c r="C17" s="1007"/>
      <c r="D17" s="8"/>
      <c r="E17" s="8"/>
      <c r="F17" s="1222"/>
      <c r="G17" s="1223"/>
      <c r="H17" s="1224"/>
      <c r="K17" s="1092" t="s">
        <v>614</v>
      </c>
      <c r="M17" s="1007"/>
      <c r="N17" s="8"/>
      <c r="O17" s="8"/>
      <c r="P17" s="1222"/>
      <c r="Q17" s="1223"/>
      <c r="R17" s="1224"/>
    </row>
    <row r="18" spans="1:21">
      <c r="A18" t="s">
        <v>628</v>
      </c>
      <c r="C18" s="1007"/>
      <c r="D18" s="599">
        <f>TurkeyPBalance!D6</f>
        <v>9301618.8428238537</v>
      </c>
      <c r="E18" s="8"/>
      <c r="F18" s="1222"/>
      <c r="G18" s="1223">
        <f>D18/2000</f>
        <v>4650.8094214119265</v>
      </c>
      <c r="H18" s="1224"/>
      <c r="K18" t="s">
        <v>628</v>
      </c>
      <c r="M18" s="1007"/>
      <c r="N18" s="676">
        <f>CONVERT(D18,"lbm","kg")</f>
        <v>4219143.3357531298</v>
      </c>
      <c r="O18" s="8"/>
      <c r="P18" s="1222"/>
      <c r="Q18" s="1223">
        <f>N18/1000</f>
        <v>4219.1433357531296</v>
      </c>
      <c r="R18" s="1224"/>
    </row>
    <row r="19" spans="1:21">
      <c r="A19" t="s">
        <v>1099</v>
      </c>
      <c r="C19" s="1007"/>
      <c r="D19" s="599">
        <f>TurkeyPBalance!D7</f>
        <v>3507.500892173518</v>
      </c>
      <c r="E19" s="8"/>
      <c r="F19" s="1222"/>
      <c r="G19" s="1223"/>
      <c r="H19" s="1224"/>
      <c r="K19" t="str">
        <f>A19</f>
        <v xml:space="preserve">Turkey Rendered </v>
      </c>
      <c r="M19" s="1007"/>
      <c r="N19" s="676">
        <f>CONVERT(D19,"lbm","kg")</f>
        <v>1590.9756424581005</v>
      </c>
      <c r="O19" s="8"/>
      <c r="P19" s="1222"/>
      <c r="Q19" s="1223">
        <f>N19/1000</f>
        <v>1.5909756424581005</v>
      </c>
      <c r="R19" s="1224"/>
    </row>
    <row r="20" spans="1:21">
      <c r="A20" t="s">
        <v>629</v>
      </c>
      <c r="C20" s="1221">
        <f>TurkeyPBalance!C10</f>
        <v>670768.80933455972</v>
      </c>
      <c r="D20" s="599"/>
      <c r="E20" s="8"/>
      <c r="F20" s="1222">
        <f t="shared" ref="F20:F22" si="9">C20/2000</f>
        <v>335.38440466727985</v>
      </c>
      <c r="G20" s="1223"/>
      <c r="H20" s="1224"/>
      <c r="K20" t="s">
        <v>629</v>
      </c>
      <c r="M20" s="1221">
        <f t="shared" ref="M20:M22" si="10">CONVERT(C20,"lbm","kg")</f>
        <v>304255.61394814111</v>
      </c>
      <c r="N20" s="599"/>
      <c r="O20" s="8"/>
      <c r="P20" s="1222">
        <f t="shared" ref="P20:P22" si="11">M20/1000</f>
        <v>304.2556139481411</v>
      </c>
      <c r="Q20" s="1223">
        <f t="shared" ref="Q20:Q21" si="12">N20/1000</f>
        <v>0</v>
      </c>
      <c r="R20" s="1224"/>
      <c r="U20" s="564"/>
    </row>
    <row r="21" spans="1:21">
      <c r="A21" t="s">
        <v>630</v>
      </c>
      <c r="C21" s="1221">
        <f>Turkey_Manure!H25</f>
        <v>9167242.2224396802</v>
      </c>
      <c r="D21" s="8"/>
      <c r="E21" s="8"/>
      <c r="F21" s="1222">
        <f t="shared" si="9"/>
        <v>4583.6211112198398</v>
      </c>
      <c r="G21" s="1223"/>
      <c r="H21" s="1224"/>
      <c r="K21" t="s">
        <v>630</v>
      </c>
      <c r="M21" s="1221">
        <f t="shared" si="10"/>
        <v>4158191.126040482</v>
      </c>
      <c r="N21" s="599"/>
      <c r="O21" s="8"/>
      <c r="P21" s="1222">
        <f t="shared" si="11"/>
        <v>4158.1911260404822</v>
      </c>
      <c r="Q21" s="1223">
        <f t="shared" si="12"/>
        <v>0</v>
      </c>
      <c r="R21" s="1224"/>
    </row>
    <row r="22" spans="1:21">
      <c r="A22" t="s">
        <v>631</v>
      </c>
      <c r="C22" s="1221">
        <f>TurkeyPBalance!B3</f>
        <v>18519296.35814571</v>
      </c>
      <c r="D22" s="8"/>
      <c r="E22" s="599"/>
      <c r="F22" s="1222">
        <f t="shared" si="9"/>
        <v>9259.6481790728558</v>
      </c>
      <c r="G22" s="1223"/>
      <c r="H22" s="1224"/>
      <c r="K22" t="s">
        <v>631</v>
      </c>
      <c r="M22" s="1221">
        <f t="shared" si="10"/>
        <v>8400211.5258236825</v>
      </c>
      <c r="N22" s="599"/>
      <c r="O22" s="599"/>
      <c r="P22" s="1222">
        <f t="shared" si="11"/>
        <v>8400.2115258236827</v>
      </c>
      <c r="Q22" s="1223"/>
      <c r="R22" s="1224"/>
    </row>
    <row r="23" spans="1:21">
      <c r="A23" t="s">
        <v>1098</v>
      </c>
      <c r="C23" s="1007"/>
      <c r="D23" s="8"/>
      <c r="E23" s="599">
        <f>TurkeyPBalance!B8</f>
        <v>452861.72452068381</v>
      </c>
      <c r="F23" s="1222"/>
      <c r="G23" s="1223"/>
      <c r="H23" s="1224">
        <f t="shared" ref="G23:H37" si="13">E23/2000</f>
        <v>226.43086226034191</v>
      </c>
      <c r="K23" t="s">
        <v>632</v>
      </c>
      <c r="M23" s="1007"/>
      <c r="N23" s="599"/>
      <c r="O23" s="676">
        <f>CONVERT(E23,"lbm","kg")</f>
        <v>205414.62290762409</v>
      </c>
      <c r="P23" s="1222"/>
      <c r="Q23" s="1223"/>
      <c r="R23" s="1224">
        <f t="shared" ref="R23" si="14">O23/1000</f>
        <v>205.41462290762408</v>
      </c>
    </row>
    <row r="24" spans="1:21">
      <c r="A24" s="1095" t="s">
        <v>982</v>
      </c>
      <c r="C24" s="1007"/>
      <c r="D24" s="8"/>
      <c r="E24" s="8"/>
      <c r="F24" s="1222"/>
      <c r="G24" s="1223"/>
      <c r="H24" s="1224"/>
      <c r="K24" s="1095" t="s">
        <v>982</v>
      </c>
      <c r="M24" s="1007"/>
      <c r="N24" s="8"/>
      <c r="O24" s="8"/>
      <c r="P24" s="1222"/>
      <c r="Q24" s="1223"/>
      <c r="R24" s="1224"/>
    </row>
    <row r="25" spans="1:21">
      <c r="A25" t="s">
        <v>509</v>
      </c>
      <c r="C25" s="1007"/>
      <c r="D25" s="599">
        <f>SwinePBalance!D6</f>
        <v>19199324.445331793</v>
      </c>
      <c r="E25" s="8"/>
      <c r="F25" s="1222"/>
      <c r="G25" s="1223">
        <f t="shared" ref="G25:G26" si="15">D25/2000</f>
        <v>9599.6622226658965</v>
      </c>
      <c r="H25" s="1224"/>
      <c r="K25" t="s">
        <v>509</v>
      </c>
      <c r="M25" s="1007"/>
      <c r="N25" s="676">
        <f t="shared" ref="M25:N27" si="16">CONVERT(D25,"lbm","kg")</f>
        <v>8708667.0775569845</v>
      </c>
      <c r="O25" s="8"/>
      <c r="P25" s="1222"/>
      <c r="Q25" s="1223">
        <f>N25/1000</f>
        <v>8708.6670775569837</v>
      </c>
      <c r="R25" s="1224"/>
    </row>
    <row r="26" spans="1:21">
      <c r="A26" t="s">
        <v>510</v>
      </c>
      <c r="C26" s="1007"/>
      <c r="D26" s="599">
        <f>SwinePBalance!D8</f>
        <v>672545.59238688007</v>
      </c>
      <c r="E26" s="8"/>
      <c r="F26" s="1222"/>
      <c r="G26" s="1223">
        <f t="shared" si="15"/>
        <v>336.27279619344006</v>
      </c>
      <c r="H26" s="1224"/>
      <c r="K26" t="s">
        <v>510</v>
      </c>
      <c r="M26" s="1007"/>
      <c r="N26" s="676">
        <f t="shared" si="16"/>
        <v>305061.54918381886</v>
      </c>
      <c r="O26" s="8"/>
      <c r="P26" s="1222"/>
      <c r="Q26" s="1223">
        <f t="shared" ref="Q26" si="17">N26/1000</f>
        <v>305.06154918381884</v>
      </c>
      <c r="R26" s="1224"/>
      <c r="S26" s="569"/>
    </row>
    <row r="27" spans="1:21">
      <c r="A27" t="s">
        <v>511</v>
      </c>
      <c r="C27" s="1207">
        <f>SwinePBalance!C9</f>
        <v>3362.7279619344004</v>
      </c>
      <c r="D27" s="8"/>
      <c r="E27" s="8"/>
      <c r="F27" s="1222">
        <f t="shared" ref="F27:F29" si="18">C27/2000</f>
        <v>1.6813639809672001</v>
      </c>
      <c r="G27" s="1223"/>
      <c r="H27" s="1224"/>
      <c r="K27" t="s">
        <v>511</v>
      </c>
      <c r="M27" s="1221">
        <f t="shared" si="16"/>
        <v>1525.3077459190945</v>
      </c>
      <c r="N27" s="676"/>
      <c r="O27" s="8"/>
      <c r="P27" s="1222">
        <f t="shared" ref="P27:P28" si="19">M27/1000</f>
        <v>1.5253077459190945</v>
      </c>
      <c r="Q27" s="1223"/>
      <c r="R27" s="1224"/>
    </row>
    <row r="28" spans="1:21">
      <c r="A28" t="s">
        <v>512</v>
      </c>
      <c r="C28" s="1221">
        <f>SwineManure!I22</f>
        <v>21091014.698170565</v>
      </c>
      <c r="D28" s="8"/>
      <c r="E28" s="8"/>
      <c r="F28" s="1222">
        <f t="shared" si="18"/>
        <v>10545.507349085283</v>
      </c>
      <c r="G28" s="1223"/>
      <c r="H28" s="1224"/>
      <c r="K28" t="s">
        <v>512</v>
      </c>
      <c r="M28" s="1221">
        <f t="shared" ref="M28:M29" si="20">CONVERT(C28,"lbm","kg")</f>
        <v>9566723.3426480219</v>
      </c>
      <c r="N28" s="599"/>
      <c r="O28" s="8"/>
      <c r="P28" s="1222">
        <f t="shared" si="19"/>
        <v>9566.7233426480216</v>
      </c>
      <c r="Q28" s="1223"/>
      <c r="R28" s="1224"/>
    </row>
    <row r="29" spans="1:21">
      <c r="A29" t="s">
        <v>513</v>
      </c>
      <c r="C29" s="1221">
        <f>SwinePBalance!B3</f>
        <v>42107833.725825757</v>
      </c>
      <c r="D29" s="599"/>
      <c r="E29" s="599"/>
      <c r="F29" s="1222">
        <f t="shared" si="18"/>
        <v>21053.91686291288</v>
      </c>
      <c r="G29" s="1223"/>
      <c r="H29" s="1224"/>
      <c r="K29" t="s">
        <v>513</v>
      </c>
      <c r="M29" s="1221">
        <f t="shared" si="20"/>
        <v>19099792.095263235</v>
      </c>
      <c r="N29" s="599"/>
      <c r="O29" s="599"/>
      <c r="P29" s="1222">
        <f>M29/1000</f>
        <v>19099.792095263234</v>
      </c>
      <c r="Q29" s="1223"/>
      <c r="R29" s="1224"/>
    </row>
    <row r="30" spans="1:21">
      <c r="A30" t="s">
        <v>514</v>
      </c>
      <c r="C30" s="1007"/>
      <c r="D30" s="599"/>
      <c r="E30" s="599">
        <v>0</v>
      </c>
      <c r="F30" s="1222"/>
      <c r="G30" s="1223"/>
      <c r="H30" s="1224">
        <f t="shared" si="13"/>
        <v>0</v>
      </c>
      <c r="K30" t="s">
        <v>514</v>
      </c>
      <c r="M30" s="1007"/>
      <c r="N30" s="599"/>
      <c r="O30" s="676">
        <f>CONVERT(E30,"lbm","kg")</f>
        <v>0</v>
      </c>
      <c r="P30" s="1222"/>
      <c r="Q30" s="1223"/>
      <c r="R30" s="1224">
        <f t="shared" ref="R30" si="21">O30/1000</f>
        <v>0</v>
      </c>
    </row>
    <row r="31" spans="1:21" ht="14.25" customHeight="1">
      <c r="A31" s="1094" t="s">
        <v>626</v>
      </c>
      <c r="C31" s="1007"/>
      <c r="D31" s="8"/>
      <c r="E31" s="8"/>
      <c r="F31" s="1222"/>
      <c r="G31" s="1223"/>
      <c r="H31" s="1224"/>
      <c r="K31" s="1094" t="s">
        <v>626</v>
      </c>
      <c r="M31" s="1007"/>
      <c r="N31" s="8"/>
      <c r="O31" s="8"/>
      <c r="P31" s="1222"/>
      <c r="Q31" s="1223"/>
      <c r="R31" s="1224"/>
    </row>
    <row r="32" spans="1:21">
      <c r="A32" t="s">
        <v>515</v>
      </c>
      <c r="C32" s="1007"/>
      <c r="D32" s="599">
        <f>DairyPBalance!D6</f>
        <v>7824221.42671928</v>
      </c>
      <c r="E32" s="8"/>
      <c r="F32" s="1222"/>
      <c r="G32" s="1223">
        <f t="shared" si="13"/>
        <v>3912.1107133596402</v>
      </c>
      <c r="H32" s="1224"/>
      <c r="K32" t="s">
        <v>515</v>
      </c>
      <c r="M32" s="1007"/>
      <c r="N32" s="676">
        <f t="shared" ref="N32:N33" si="22">CONVERT(D32,"lbm","kg")</f>
        <v>3549007.1403503795</v>
      </c>
      <c r="O32" s="8"/>
      <c r="P32" s="1222"/>
      <c r="Q32" s="1223">
        <f t="shared" ref="Q32:Q33" si="23">N32/1000</f>
        <v>3549.0071403503794</v>
      </c>
      <c r="R32" s="1224"/>
      <c r="U32" s="564"/>
    </row>
    <row r="33" spans="1:18">
      <c r="A33" t="s">
        <v>1054</v>
      </c>
      <c r="C33" s="1007"/>
      <c r="D33" s="599">
        <f>DairyPBalance!D9</f>
        <v>1464280.1222457725</v>
      </c>
      <c r="E33" s="8"/>
      <c r="F33" s="1222"/>
      <c r="G33" s="1223">
        <f t="shared" si="13"/>
        <v>732.14006112288621</v>
      </c>
      <c r="H33" s="1224"/>
      <c r="K33" t="s">
        <v>1054</v>
      </c>
      <c r="M33" s="1007"/>
      <c r="N33" s="676">
        <f t="shared" si="22"/>
        <v>664186.29099334963</v>
      </c>
      <c r="O33" s="8"/>
      <c r="P33" s="1222"/>
      <c r="Q33" s="1223">
        <f t="shared" si="23"/>
        <v>664.18629099334964</v>
      </c>
      <c r="R33" s="1224"/>
    </row>
    <row r="34" spans="1:18">
      <c r="A34" t="s">
        <v>516</v>
      </c>
      <c r="C34" s="1221">
        <f>DairyManure!G24</f>
        <v>18074174.577460013</v>
      </c>
      <c r="D34" s="8"/>
      <c r="E34" s="8"/>
      <c r="F34" s="1222">
        <f t="shared" ref="F34:F35" si="24">C34/2000</f>
        <v>9037.0872887300065</v>
      </c>
      <c r="G34" s="1223"/>
      <c r="H34" s="1224"/>
      <c r="K34" t="s">
        <v>516</v>
      </c>
      <c r="M34" s="1221">
        <f t="shared" ref="M34:O43" si="25">CONVERT(C34,"lbm","kg")</f>
        <v>8198307.6823838372</v>
      </c>
      <c r="N34" s="599"/>
      <c r="O34" s="8"/>
      <c r="P34" s="1222">
        <f>M34/1000</f>
        <v>8198.3076823838364</v>
      </c>
      <c r="Q34" s="1223"/>
      <c r="R34" s="1224"/>
    </row>
    <row r="35" spans="1:18">
      <c r="A35" t="s">
        <v>517</v>
      </c>
      <c r="C35" s="1221">
        <f>DairyPBalance!B3</f>
        <v>27574967.660509713</v>
      </c>
      <c r="D35" s="8"/>
      <c r="E35" s="599"/>
      <c r="F35" s="1222">
        <f t="shared" si="24"/>
        <v>13787.483830254856</v>
      </c>
      <c r="G35" s="1223"/>
      <c r="H35" s="1224"/>
      <c r="K35" t="s">
        <v>517</v>
      </c>
      <c r="M35" s="1221">
        <f t="shared" si="25"/>
        <v>12507794.933803957</v>
      </c>
      <c r="N35" s="8"/>
      <c r="O35" s="599"/>
      <c r="P35" s="1222">
        <f>M35/1000</f>
        <v>12507.794933803956</v>
      </c>
      <c r="Q35" s="1223"/>
      <c r="R35" s="1224"/>
    </row>
    <row r="36" spans="1:18">
      <c r="A36" s="1093" t="s">
        <v>621</v>
      </c>
      <c r="C36" s="1007"/>
      <c r="D36" s="8"/>
      <c r="E36" s="599"/>
      <c r="F36" s="1222"/>
      <c r="G36" s="1223"/>
      <c r="H36" s="1224">
        <v>0</v>
      </c>
      <c r="K36" s="1093" t="s">
        <v>621</v>
      </c>
      <c r="M36" s="1007"/>
      <c r="N36" s="8"/>
      <c r="O36" s="676">
        <f t="shared" si="25"/>
        <v>0</v>
      </c>
      <c r="P36" s="1222"/>
      <c r="Q36" s="1223"/>
      <c r="R36" s="1224">
        <f t="shared" ref="R36" si="26">O36/1000</f>
        <v>0</v>
      </c>
    </row>
    <row r="37" spans="1:18">
      <c r="A37" t="s">
        <v>518</v>
      </c>
      <c r="C37" s="1007"/>
      <c r="D37" s="599">
        <f>'BeefPBalance '!D9</f>
        <v>5545100.3699272992</v>
      </c>
      <c r="E37" s="599"/>
      <c r="F37" s="1222"/>
      <c r="G37" s="1223">
        <f t="shared" si="13"/>
        <v>2772.5501849636498</v>
      </c>
      <c r="H37" s="1224"/>
      <c r="K37" t="s">
        <v>518</v>
      </c>
      <c r="M37" s="1007"/>
      <c r="N37" s="676">
        <f t="shared" si="25"/>
        <v>2515215.2186832004</v>
      </c>
      <c r="O37" s="599"/>
      <c r="P37" s="1222"/>
      <c r="Q37" s="1223">
        <f t="shared" ref="Q37:Q38" si="27">N37/1000</f>
        <v>2515.2152186832004</v>
      </c>
      <c r="R37" s="1224"/>
    </row>
    <row r="38" spans="1:18">
      <c r="A38" t="s">
        <v>1097</v>
      </c>
      <c r="C38" s="1007"/>
      <c r="D38" s="599">
        <f>'BeefPBalance '!D10</f>
        <v>3352.0715596357095</v>
      </c>
      <c r="E38" s="599"/>
      <c r="F38" s="1222"/>
      <c r="G38" s="1223"/>
      <c r="H38" s="1224"/>
      <c r="K38" t="s">
        <v>1097</v>
      </c>
      <c r="M38" s="1007"/>
      <c r="N38" s="676">
        <f t="shared" si="25"/>
        <v>1520.474083144758</v>
      </c>
      <c r="O38" s="599"/>
      <c r="P38" s="1222"/>
      <c r="Q38" s="1223">
        <f t="shared" si="27"/>
        <v>1.5204740831447581</v>
      </c>
      <c r="R38" s="1224"/>
    </row>
    <row r="39" spans="1:18">
      <c r="A39" t="s">
        <v>519</v>
      </c>
      <c r="C39" s="1207">
        <f>BeefManure!H31</f>
        <v>23650662.039257325</v>
      </c>
      <c r="D39" s="8"/>
      <c r="E39" s="599"/>
      <c r="F39" s="1222">
        <f t="shared" ref="F39:F40" si="28">C39/2000</f>
        <v>11825.331019628662</v>
      </c>
      <c r="G39" s="1223"/>
      <c r="H39" s="1224"/>
      <c r="K39" t="s">
        <v>519</v>
      </c>
      <c r="M39" s="1221">
        <f t="shared" si="25"/>
        <v>10727759.846455762</v>
      </c>
      <c r="N39" s="599"/>
      <c r="O39" s="599"/>
      <c r="P39" s="1222">
        <f>M39/1000</f>
        <v>10727.759846455761</v>
      </c>
      <c r="Q39" s="1223"/>
      <c r="R39" s="1224"/>
    </row>
    <row r="40" spans="1:18">
      <c r="A40" t="s">
        <v>520</v>
      </c>
      <c r="C40" s="1221">
        <f>'BeefPBalance '!B3</f>
        <v>27872997.266282961</v>
      </c>
      <c r="D40" s="8"/>
      <c r="E40" s="599"/>
      <c r="F40" s="1222">
        <f t="shared" si="28"/>
        <v>13936.49863314148</v>
      </c>
      <c r="G40" s="1223"/>
      <c r="H40" s="1224"/>
      <c r="K40" t="s">
        <v>520</v>
      </c>
      <c r="M40" s="1221">
        <f t="shared" si="25"/>
        <v>12642978.889016809</v>
      </c>
      <c r="N40" s="8"/>
      <c r="O40" s="599"/>
      <c r="P40" s="1222">
        <f>M40/1000</f>
        <v>12642.978889016809</v>
      </c>
      <c r="Q40" s="1223"/>
      <c r="R40" s="1224"/>
    </row>
    <row r="41" spans="1:18">
      <c r="A41" t="s">
        <v>633</v>
      </c>
      <c r="C41" s="1007"/>
      <c r="D41" s="8"/>
      <c r="E41" s="676">
        <f>'BeefPBalance '!B6</f>
        <v>160932.81954002255</v>
      </c>
      <c r="F41" s="1222"/>
      <c r="G41" s="1223"/>
      <c r="H41" s="1224">
        <f>E41/2000</f>
        <v>80.466409770011282</v>
      </c>
      <c r="K41" t="s">
        <v>633</v>
      </c>
      <c r="M41" s="1007"/>
      <c r="N41" s="8"/>
      <c r="O41" s="676">
        <f t="shared" si="25"/>
        <v>72997.899025941151</v>
      </c>
      <c r="P41" s="1222"/>
      <c r="Q41" s="1223"/>
      <c r="R41" s="1224">
        <f>O41/1000</f>
        <v>72.997899025941152</v>
      </c>
    </row>
    <row r="42" spans="1:18">
      <c r="A42" t="s">
        <v>1101</v>
      </c>
      <c r="C42" s="1221">
        <f>'BeefPBalance '!C11</f>
        <v>1803.612062211447</v>
      </c>
      <c r="D42" s="8"/>
      <c r="E42" s="8"/>
      <c r="F42" s="1222"/>
      <c r="G42" s="1223"/>
      <c r="H42" s="1224"/>
      <c r="K42" t="str">
        <f>A42</f>
        <v>Beef Landfilled</v>
      </c>
      <c r="M42" s="1221">
        <f t="shared" si="25"/>
        <v>818.10466985907772</v>
      </c>
      <c r="N42" s="8"/>
      <c r="O42" s="8"/>
      <c r="P42" s="1222">
        <f>M42/1000</f>
        <v>0.8181046698590777</v>
      </c>
      <c r="Q42" s="1223"/>
      <c r="R42" s="1224"/>
    </row>
    <row r="43" spans="1:18">
      <c r="A43" t="s">
        <v>1102</v>
      </c>
      <c r="C43" s="1221">
        <f>'BeefPBalance '!C8</f>
        <v>48353.220592340658</v>
      </c>
      <c r="D43" s="8"/>
      <c r="E43" s="599"/>
      <c r="F43" s="1222"/>
      <c r="G43" s="1223"/>
      <c r="H43" s="1224"/>
      <c r="K43" t="str">
        <f>A43</f>
        <v>Beef Composted</v>
      </c>
      <c r="M43" s="1221">
        <f t="shared" si="25"/>
        <v>21932.651925612601</v>
      </c>
      <c r="N43" s="8"/>
      <c r="O43" s="599"/>
      <c r="P43" s="1222">
        <f>M43/1000</f>
        <v>21.9326519256126</v>
      </c>
      <c r="Q43" s="1223"/>
      <c r="R43" s="1224"/>
    </row>
    <row r="44" spans="1:18">
      <c r="C44" s="1007"/>
      <c r="D44" s="8"/>
      <c r="E44" s="599"/>
      <c r="F44" s="1222"/>
      <c r="G44" s="1223"/>
      <c r="H44" s="1224"/>
      <c r="M44" s="1007"/>
      <c r="N44" s="8"/>
      <c r="O44" s="599"/>
      <c r="P44" s="1222"/>
      <c r="Q44" s="1223"/>
      <c r="R44" s="1224"/>
    </row>
    <row r="45" spans="1:18">
      <c r="A45" s="164" t="s">
        <v>1080</v>
      </c>
      <c r="C45" s="1007"/>
      <c r="E45" s="5">
        <f>Feed_Summary!N25</f>
        <v>57167437.090731762</v>
      </c>
      <c r="F45" s="1222"/>
      <c r="G45" s="1223"/>
      <c r="H45" s="1224">
        <f t="shared" ref="G45:H47" si="29">E45/2000</f>
        <v>28583.718545365882</v>
      </c>
      <c r="K45" s="164" t="s">
        <v>1080</v>
      </c>
      <c r="M45" s="1254"/>
      <c r="O45" s="5">
        <f t="shared" ref="O45" si="30">CONVERT(E45,"lbm","kg")</f>
        <v>25930713.276810925</v>
      </c>
      <c r="P45" s="1222"/>
      <c r="Q45" s="666"/>
      <c r="R45" s="1224">
        <f>O45/1000</f>
        <v>25930.713276810926</v>
      </c>
    </row>
    <row r="46" spans="1:18">
      <c r="A46" s="164" t="s">
        <v>1050</v>
      </c>
      <c r="B46" s="695">
        <f>Feed_Summary!N26</f>
        <v>67243374.272133201</v>
      </c>
      <c r="C46" s="1254" t="s">
        <v>245</v>
      </c>
      <c r="E46" s="5"/>
      <c r="F46" s="1222"/>
      <c r="G46" s="1223"/>
      <c r="H46" s="1224"/>
      <c r="K46" s="164" t="s">
        <v>1050</v>
      </c>
      <c r="L46" s="597">
        <f>CONVERT(B46,"lbm","kg")</f>
        <v>30501081.502893925</v>
      </c>
      <c r="M46" s="1254" t="s">
        <v>185</v>
      </c>
      <c r="O46" s="5"/>
      <c r="P46" s="1222"/>
      <c r="Q46" s="666"/>
      <c r="R46" s="1224"/>
    </row>
    <row r="47" spans="1:18">
      <c r="A47" s="164" t="s">
        <v>521</v>
      </c>
      <c r="B47" s="619"/>
      <c r="C47" s="1254"/>
      <c r="D47" s="597">
        <f>E50-(B46)</f>
        <v>354203911.77045882</v>
      </c>
      <c r="E47" s="63"/>
      <c r="F47" s="1222"/>
      <c r="G47" s="1223">
        <f t="shared" si="29"/>
        <v>177101.9558852294</v>
      </c>
      <c r="H47" s="1224"/>
      <c r="K47" s="164" t="s">
        <v>521</v>
      </c>
      <c r="L47" s="597"/>
      <c r="M47" s="1254"/>
      <c r="N47" s="5">
        <f>CONVERT(D47,"lbm","kg")</f>
        <v>160664191.8032333</v>
      </c>
      <c r="P47" s="1222"/>
      <c r="Q47" s="666">
        <f>N47/1000</f>
        <v>160664.19180323329</v>
      </c>
      <c r="R47" s="1224"/>
    </row>
    <row r="48" spans="1:18">
      <c r="A48" s="164" t="s">
        <v>522</v>
      </c>
      <c r="B48" s="619"/>
      <c r="C48" s="1254"/>
      <c r="D48" s="63"/>
      <c r="E48" s="597">
        <f>E49-(C34+C28+C39+C21+C12+C4)</f>
        <v>180990570.707241</v>
      </c>
      <c r="F48" s="1222"/>
      <c r="G48" s="1223"/>
      <c r="H48" s="1224">
        <f t="shared" ref="H48:H50" si="31">E48/2000</f>
        <v>90495.285353620493</v>
      </c>
      <c r="K48" s="164" t="s">
        <v>522</v>
      </c>
      <c r="L48" s="597"/>
      <c r="M48" s="1254"/>
      <c r="O48" s="5">
        <f t="shared" ref="O48:O50" si="32">CONVERT(E48,"lbm","kg")</f>
        <v>82095941.914750025</v>
      </c>
      <c r="P48" s="1222"/>
      <c r="Q48" s="666"/>
      <c r="R48" s="1224">
        <f t="shared" ref="R48:R50" si="33">O48/1000</f>
        <v>82095.94191475003</v>
      </c>
    </row>
    <row r="49" spans="1:22">
      <c r="A49" s="164" t="s">
        <v>523</v>
      </c>
      <c r="B49" s="695">
        <f>Crop_P_Balance!I25</f>
        <v>257729389.05922291</v>
      </c>
      <c r="C49" s="1255" t="s">
        <v>636</v>
      </c>
      <c r="D49" s="597"/>
      <c r="E49" s="597">
        <f>B49</f>
        <v>257729389.05922291</v>
      </c>
      <c r="F49" s="1222"/>
      <c r="G49" s="1223"/>
      <c r="H49" s="1224">
        <f t="shared" si="31"/>
        <v>128864.69452961146</v>
      </c>
      <c r="K49" s="164" t="s">
        <v>523</v>
      </c>
      <c r="L49" s="597">
        <f>CONVERT(B49,"lbm","kg")</f>
        <v>116904084.402025</v>
      </c>
      <c r="M49" s="1255" t="s">
        <v>185</v>
      </c>
      <c r="N49" s="5"/>
      <c r="O49" s="5">
        <f t="shared" si="32"/>
        <v>116904084.402025</v>
      </c>
      <c r="P49" s="1222"/>
      <c r="Q49" s="666"/>
      <c r="R49" s="1224">
        <f t="shared" si="33"/>
        <v>116904.08440202499</v>
      </c>
    </row>
    <row r="50" spans="1:22" ht="15" thickBot="1">
      <c r="A50" s="164" t="s">
        <v>524</v>
      </c>
      <c r="B50" s="695">
        <f>Crop_P_Balance!P22</f>
        <v>421447286.04259205</v>
      </c>
      <c r="C50" s="1256" t="s">
        <v>184</v>
      </c>
      <c r="D50" s="597"/>
      <c r="E50" s="597">
        <f>B50</f>
        <v>421447286.04259205</v>
      </c>
      <c r="F50" s="1249"/>
      <c r="G50" s="1247"/>
      <c r="H50" s="1248">
        <f t="shared" si="31"/>
        <v>210723.64302129601</v>
      </c>
      <c r="K50" s="164" t="s">
        <v>524</v>
      </c>
      <c r="L50" s="597">
        <f>CONVERT(B50,"lbm","kg")</f>
        <v>191165273.30612725</v>
      </c>
      <c r="M50" s="1256" t="s">
        <v>185</v>
      </c>
      <c r="N50" s="5"/>
      <c r="O50" s="5">
        <f t="shared" si="32"/>
        <v>191165273.30612725</v>
      </c>
      <c r="P50" s="1249"/>
      <c r="Q50" s="666"/>
      <c r="R50" s="1248">
        <f t="shared" si="33"/>
        <v>191165.27330612726</v>
      </c>
    </row>
    <row r="51" spans="1:22">
      <c r="B51" s="597"/>
      <c r="C51" s="1246" t="s">
        <v>525</v>
      </c>
      <c r="D51" s="1242">
        <f>D18+D14+D25+D26+D32+D33+D47+D37+D13+D5+D6+D7+D38+D19</f>
        <v>400937562.67180628</v>
      </c>
      <c r="E51" s="1243">
        <f>E23+E30+E48+E45+E41+E16+E8</f>
        <v>238784865.43818048</v>
      </c>
      <c r="F51" s="1250" t="s">
        <v>1055</v>
      </c>
      <c r="G51" s="1242">
        <f t="shared" ref="G51:H51" si="34">D51/2000</f>
        <v>200468.78133590313</v>
      </c>
      <c r="H51" s="1243">
        <f t="shared" si="34"/>
        <v>119392.43271909024</v>
      </c>
      <c r="L51" s="597"/>
      <c r="M51" s="1246" t="s">
        <v>634</v>
      </c>
      <c r="N51" s="1242">
        <f>N18+N14+N25+N26+N32+N33+N47+N37+N13+N5+N6+N7</f>
        <v>181859107.82460257</v>
      </c>
      <c r="O51" s="1242">
        <f>O23+O30+O48+O45+O41+O16+O8</f>
        <v>108310993.03423539</v>
      </c>
      <c r="P51" s="1246" t="s">
        <v>635</v>
      </c>
      <c r="Q51" s="1242">
        <f>Q18+Q14+Q25+Q26+Q32+Q33+Q47+Q37+Q13+Q5+Q6+Q7+Q38</f>
        <v>181860.62829868568</v>
      </c>
      <c r="R51" s="1243">
        <f>R23+R30+R48+R45+R41+R16+R8</f>
        <v>108305.07613293121</v>
      </c>
    </row>
    <row r="52" spans="1:22" ht="15" thickBot="1">
      <c r="C52" s="1059"/>
      <c r="D52" s="1244" t="s">
        <v>508</v>
      </c>
      <c r="E52" s="1245" t="s">
        <v>1079</v>
      </c>
      <c r="F52" s="1247"/>
      <c r="G52" s="1244" t="s">
        <v>508</v>
      </c>
      <c r="H52" s="1245" t="s">
        <v>1079</v>
      </c>
      <c r="M52" s="1059"/>
      <c r="N52" s="1244" t="s">
        <v>508</v>
      </c>
      <c r="O52" s="1244" t="s">
        <v>1079</v>
      </c>
      <c r="P52" s="1059"/>
      <c r="Q52" s="1244" t="s">
        <v>508</v>
      </c>
      <c r="R52" s="1245" t="s">
        <v>1079</v>
      </c>
      <c r="S52" s="866"/>
      <c r="T52" s="8"/>
      <c r="U52" s="8"/>
      <c r="V52" s="8"/>
    </row>
    <row r="53" spans="1:22">
      <c r="D53" s="554"/>
      <c r="E53" s="554"/>
      <c r="F53" s="782"/>
      <c r="G53" s="599"/>
      <c r="H53" s="554"/>
      <c r="S53" s="8"/>
      <c r="T53" s="8"/>
      <c r="U53" s="8"/>
      <c r="V53" s="8"/>
    </row>
    <row r="54" spans="1:22" ht="15" thickBot="1">
      <c r="D54" s="8"/>
      <c r="E54" s="8"/>
      <c r="F54" s="599"/>
      <c r="G54" s="599"/>
      <c r="H54" s="599"/>
      <c r="S54" s="8"/>
      <c r="T54" s="8"/>
      <c r="U54" s="8"/>
      <c r="V54" s="8"/>
    </row>
    <row r="55" spans="1:22">
      <c r="D55" s="8"/>
      <c r="E55" s="755"/>
      <c r="F55" s="1012"/>
      <c r="G55" s="1012"/>
      <c r="H55" s="1012"/>
      <c r="I55" s="1235"/>
      <c r="J55" s="5"/>
      <c r="S55" s="8"/>
      <c r="T55" s="8"/>
      <c r="U55" s="8"/>
      <c r="V55" s="8"/>
    </row>
    <row r="56" spans="1:22" ht="16">
      <c r="D56" s="8"/>
      <c r="E56" s="1236" t="s">
        <v>1081</v>
      </c>
      <c r="F56" s="1114"/>
      <c r="G56" s="1237">
        <f>N51/O51</f>
        <v>1.6790457065343294</v>
      </c>
      <c r="H56" s="1114" t="s">
        <v>526</v>
      </c>
      <c r="I56" s="1238"/>
      <c r="S56" s="8"/>
      <c r="T56" s="8"/>
      <c r="U56" s="8"/>
      <c r="V56" s="8"/>
    </row>
    <row r="57" spans="1:22">
      <c r="D57" s="8"/>
      <c r="E57" s="762"/>
      <c r="F57" s="730"/>
      <c r="G57" s="1239"/>
      <c r="H57" s="730"/>
      <c r="I57" s="1238"/>
      <c r="T57" s="564"/>
    </row>
    <row r="58" spans="1:22" ht="15" thickBot="1">
      <c r="E58" s="763"/>
      <c r="F58" s="1014"/>
      <c r="G58" s="1240"/>
      <c r="H58" s="1014"/>
      <c r="I58" s="1241"/>
    </row>
    <row r="59" spans="1:22" ht="15" thickBot="1">
      <c r="E59" s="8"/>
      <c r="F59" s="8"/>
      <c r="G59" s="1234"/>
      <c r="H59"/>
      <c r="I59" s="564"/>
    </row>
    <row r="60" spans="1:22">
      <c r="E60" s="755"/>
      <c r="F60" s="1012"/>
      <c r="G60" s="1251"/>
      <c r="H60" s="1012"/>
      <c r="I60" s="1235"/>
    </row>
    <row r="61" spans="1:22" ht="16">
      <c r="E61" s="1236" t="s">
        <v>1081</v>
      </c>
      <c r="F61" s="1114"/>
      <c r="G61" s="1237">
        <f>Q51/(R51+Atmospheric_P_Deposition!I6)</f>
        <v>1.5302522464101662</v>
      </c>
      <c r="H61" s="1114" t="s">
        <v>526</v>
      </c>
      <c r="I61" s="1238"/>
    </row>
    <row r="62" spans="1:22">
      <c r="E62" s="1252" t="s">
        <v>1072</v>
      </c>
      <c r="F62" s="1257"/>
      <c r="G62" s="730"/>
      <c r="H62" s="730"/>
      <c r="I62" s="1238"/>
    </row>
    <row r="63" spans="1:22" ht="15" thickBot="1">
      <c r="E63" s="763"/>
      <c r="F63" s="1014"/>
      <c r="G63" s="1014"/>
      <c r="H63" s="1014"/>
      <c r="I63" s="1241"/>
    </row>
  </sheetData>
  <sheetProtection password="A4FF" sheet="1" objects="1" scenarios="1"/>
  <mergeCells count="4">
    <mergeCell ref="C2:E2"/>
    <mergeCell ref="F2:H2"/>
    <mergeCell ref="M2:O2"/>
    <mergeCell ref="P2:R2"/>
  </mergeCells>
  <pageMargins left="0.7" right="0.7" top="0.75" bottom="0.75" header="0.3" footer="0.3"/>
  <pageSetup scale="40"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theme="2" tint="-0.499984740745262"/>
  </sheetPr>
  <dimension ref="A1:AB35"/>
  <sheetViews>
    <sheetView workbookViewId="0">
      <selection activeCell="B24" sqref="B24"/>
    </sheetView>
  </sheetViews>
  <sheetFormatPr baseColWidth="10" defaultColWidth="8.83203125" defaultRowHeight="14" x14ac:dyDescent="0"/>
  <cols>
    <col min="1" max="1" width="33" customWidth="1"/>
    <col min="2" max="3" width="27.1640625" customWidth="1"/>
    <col min="4" max="4" width="27.5" customWidth="1"/>
    <col min="5" max="5" width="21.5" customWidth="1"/>
    <col min="6" max="6" width="14.33203125" customWidth="1"/>
  </cols>
  <sheetData>
    <row r="1" spans="1:28" ht="19" thickBot="1">
      <c r="A1" s="748" t="s">
        <v>814</v>
      </c>
      <c r="B1" s="679" t="s">
        <v>1090</v>
      </c>
      <c r="C1" s="679" t="s">
        <v>699</v>
      </c>
      <c r="D1" s="679" t="s">
        <v>1092</v>
      </c>
    </row>
    <row r="2" spans="1:28" ht="15" thickBot="1">
      <c r="A2" s="876" t="s">
        <v>366</v>
      </c>
      <c r="B2" s="1309" t="s">
        <v>812</v>
      </c>
      <c r="C2" s="1310"/>
      <c r="D2" s="1311"/>
      <c r="J2" s="8"/>
      <c r="K2" s="8"/>
      <c r="L2" s="8"/>
      <c r="M2" s="8"/>
      <c r="N2" s="8"/>
      <c r="O2" s="8"/>
      <c r="P2" s="8"/>
      <c r="Q2" s="8"/>
      <c r="R2" s="8"/>
      <c r="S2" s="8"/>
      <c r="T2" s="8"/>
      <c r="U2" s="8"/>
      <c r="V2" s="8"/>
      <c r="W2" s="8"/>
      <c r="X2" s="8"/>
      <c r="Y2" s="8"/>
      <c r="Z2" s="8"/>
      <c r="AA2" s="8"/>
      <c r="AB2" s="8"/>
    </row>
    <row r="3" spans="1:28">
      <c r="A3" t="s">
        <v>787</v>
      </c>
      <c r="B3" s="731">
        <f>Dairy_Nutrient!H66</f>
        <v>27574967.660509713</v>
      </c>
      <c r="C3" s="731"/>
      <c r="D3" s="731"/>
      <c r="E3" s="5"/>
      <c r="J3" s="718" t="s">
        <v>650</v>
      </c>
      <c r="K3" s="719"/>
      <c r="L3" s="719"/>
      <c r="M3" s="719"/>
      <c r="N3" s="719"/>
      <c r="O3" s="719"/>
      <c r="P3" s="719"/>
      <c r="Q3" s="719"/>
      <c r="R3" s="719"/>
      <c r="S3" s="719"/>
      <c r="T3" s="719"/>
      <c r="U3" s="719"/>
      <c r="V3" s="719"/>
      <c r="W3" s="719"/>
      <c r="X3" s="719"/>
      <c r="Y3" s="699"/>
      <c r="Z3" s="8"/>
      <c r="AA3" s="8"/>
      <c r="AB3" s="8"/>
    </row>
    <row r="4" spans="1:28">
      <c r="A4" t="s">
        <v>788</v>
      </c>
      <c r="B4" s="881">
        <f>Dairy_Nutrient!G53*2000*Feed_Composition!E7</f>
        <v>88561.595164970044</v>
      </c>
      <c r="C4" s="731"/>
      <c r="D4" s="731"/>
      <c r="E4" s="5"/>
      <c r="J4" s="721"/>
      <c r="K4" s="698"/>
      <c r="L4" s="698"/>
      <c r="M4" s="698"/>
      <c r="N4" s="698"/>
      <c r="O4" s="698"/>
      <c r="P4" s="698"/>
      <c r="Q4" s="698"/>
      <c r="R4" s="698"/>
      <c r="S4" s="698"/>
      <c r="T4" s="698"/>
      <c r="U4" s="698"/>
      <c r="V4" s="698"/>
      <c r="W4" s="698"/>
      <c r="X4" s="698"/>
      <c r="Y4" s="700"/>
    </row>
    <row r="5" spans="1:28">
      <c r="A5" t="s">
        <v>360</v>
      </c>
      <c r="B5" s="731"/>
      <c r="C5" s="731">
        <f>DairyManure!G24</f>
        <v>18074174.577460013</v>
      </c>
      <c r="D5" s="731"/>
      <c r="E5" s="5"/>
      <c r="J5" s="849" t="s">
        <v>942</v>
      </c>
      <c r="K5" s="856"/>
      <c r="L5" s="857"/>
      <c r="M5" s="857"/>
      <c r="N5" s="857"/>
      <c r="O5" s="857"/>
      <c r="P5" s="857"/>
      <c r="Q5" s="857"/>
      <c r="R5" s="857"/>
      <c r="S5" s="857"/>
      <c r="T5" s="857"/>
      <c r="U5" s="857"/>
      <c r="V5" s="698"/>
      <c r="W5" s="698"/>
      <c r="X5" s="698"/>
      <c r="Y5" s="700"/>
    </row>
    <row r="6" spans="1:28">
      <c r="A6" t="s">
        <v>932</v>
      </c>
      <c r="B6" s="731"/>
      <c r="C6" s="731"/>
      <c r="D6" s="731">
        <f>(DairyHerd!B7-DairyHerd!B8)*DairyPBalance!E18</f>
        <v>7824221.42671928</v>
      </c>
      <c r="E6" s="5"/>
      <c r="J6" s="849"/>
      <c r="K6" s="857"/>
      <c r="L6" s="857"/>
      <c r="M6" s="857"/>
      <c r="N6" s="857"/>
      <c r="O6" s="857"/>
      <c r="P6" s="857"/>
      <c r="Q6" s="857"/>
      <c r="R6" s="857"/>
      <c r="S6" s="857"/>
      <c r="T6" s="857"/>
      <c r="U6" s="857"/>
      <c r="V6" s="698"/>
      <c r="W6" s="698"/>
      <c r="X6" s="698"/>
      <c r="Y6" s="700"/>
    </row>
    <row r="7" spans="1:28" s="8" customFormat="1">
      <c r="B7" s="731"/>
      <c r="C7" s="731"/>
      <c r="D7" s="731"/>
      <c r="E7" s="599"/>
      <c r="J7" s="721" t="s">
        <v>943</v>
      </c>
      <c r="K7" s="857"/>
      <c r="L7" s="857"/>
      <c r="M7" s="857"/>
      <c r="N7" s="857"/>
      <c r="O7" s="857"/>
      <c r="P7" s="857"/>
      <c r="Q7" s="857"/>
      <c r="R7" s="857"/>
      <c r="S7" s="857"/>
      <c r="T7" s="857"/>
      <c r="U7" s="857"/>
      <c r="V7" s="698"/>
      <c r="W7" s="698"/>
      <c r="X7" s="698"/>
      <c r="Y7" s="700"/>
      <c r="Z7"/>
      <c r="AA7"/>
      <c r="AB7"/>
    </row>
    <row r="8" spans="1:28" s="8" customFormat="1">
      <c r="B8" s="731"/>
      <c r="C8" s="731"/>
      <c r="D8" s="731"/>
      <c r="E8" s="599"/>
      <c r="J8" s="721"/>
      <c r="K8" s="856" t="s">
        <v>941</v>
      </c>
      <c r="L8" s="857"/>
      <c r="M8" s="857"/>
      <c r="N8" s="857"/>
      <c r="O8" s="857"/>
      <c r="P8" s="857"/>
      <c r="Q8" s="857"/>
      <c r="R8" s="857"/>
      <c r="S8" s="857"/>
      <c r="T8" s="857"/>
      <c r="U8" s="857"/>
      <c r="V8" s="698"/>
      <c r="W8" s="698"/>
      <c r="X8" s="698"/>
      <c r="Y8" s="700"/>
      <c r="Z8"/>
      <c r="AA8"/>
      <c r="AB8"/>
    </row>
    <row r="9" spans="1:28">
      <c r="A9" t="s">
        <v>377</v>
      </c>
      <c r="B9" s="730"/>
      <c r="C9" s="730"/>
      <c r="D9" s="731">
        <f>((DairyHerd!B18*98)*0.008)+((DairyHerd!B19*1350)*0.007)</f>
        <v>1464280.1222457725</v>
      </c>
      <c r="J9" s="854"/>
      <c r="K9" s="855"/>
      <c r="L9" s="855"/>
      <c r="M9" s="855"/>
      <c r="N9" s="855"/>
      <c r="O9" s="855"/>
      <c r="P9" s="855"/>
      <c r="Q9" s="855"/>
      <c r="R9" s="855"/>
      <c r="S9" s="855"/>
      <c r="T9" s="855"/>
      <c r="U9" s="855"/>
      <c r="V9" s="698"/>
      <c r="W9" s="698"/>
      <c r="X9" s="698"/>
      <c r="Y9" s="700"/>
    </row>
    <row r="10" spans="1:28" ht="15" customHeight="1">
      <c r="B10" s="735"/>
      <c r="C10" s="735"/>
      <c r="D10" s="735"/>
      <c r="J10" s="858" t="s">
        <v>939</v>
      </c>
      <c r="K10" s="856"/>
      <c r="L10" s="856"/>
      <c r="M10" s="856"/>
      <c r="N10" s="856"/>
      <c r="O10" s="856"/>
      <c r="P10" s="856"/>
      <c r="Q10" s="856"/>
      <c r="R10" s="856"/>
      <c r="S10" s="856"/>
      <c r="T10" s="857"/>
      <c r="U10" s="856"/>
      <c r="V10" s="698"/>
      <c r="W10" s="698"/>
      <c r="X10" s="698"/>
      <c r="Y10" s="700"/>
    </row>
    <row r="11" spans="1:28" ht="15" thickBot="1">
      <c r="B11" s="735"/>
      <c r="C11" s="735"/>
      <c r="D11" s="735"/>
      <c r="J11" s="858"/>
      <c r="K11" s="1285" t="s">
        <v>940</v>
      </c>
      <c r="L11" s="1285"/>
      <c r="M11" s="1285"/>
      <c r="N11" s="1285"/>
      <c r="O11" s="1285"/>
      <c r="P11" s="1285"/>
      <c r="Q11" s="1285"/>
      <c r="R11" s="1285"/>
      <c r="S11" s="1285"/>
      <c r="T11" s="1285"/>
      <c r="U11" s="1285"/>
      <c r="V11" s="1285"/>
      <c r="W11" s="1285"/>
      <c r="X11" s="1285"/>
      <c r="Y11" s="700"/>
    </row>
    <row r="12" spans="1:28" ht="15" thickBot="1">
      <c r="A12" s="598" t="s">
        <v>376</v>
      </c>
      <c r="B12" s="875">
        <f>(D6+D9)/(B3)</f>
        <v>0.3368454194877325</v>
      </c>
      <c r="C12" s="882"/>
      <c r="D12" s="734">
        <f>B3-(D9+D6+C5)</f>
        <v>212291.53408464789</v>
      </c>
      <c r="E12" s="164" t="s">
        <v>931</v>
      </c>
      <c r="J12" s="854"/>
      <c r="K12" s="1285"/>
      <c r="L12" s="1285"/>
      <c r="M12" s="1285"/>
      <c r="N12" s="1285"/>
      <c r="O12" s="1285"/>
      <c r="P12" s="1285"/>
      <c r="Q12" s="1285"/>
      <c r="R12" s="1285"/>
      <c r="S12" s="1285"/>
      <c r="T12" s="1285"/>
      <c r="U12" s="1285"/>
      <c r="V12" s="1285"/>
      <c r="W12" s="1285"/>
      <c r="X12" s="1285"/>
      <c r="Y12" s="700"/>
    </row>
    <row r="13" spans="1:28">
      <c r="B13" s="735"/>
      <c r="C13" s="735"/>
      <c r="D13" s="883">
        <f>D12/B3</f>
        <v>7.6987047346086992E-3</v>
      </c>
      <c r="E13" s="164" t="s">
        <v>379</v>
      </c>
      <c r="J13" s="854"/>
      <c r="K13" s="1262"/>
      <c r="L13" s="1262"/>
      <c r="M13" s="1262"/>
      <c r="N13" s="1262"/>
      <c r="O13" s="1262"/>
      <c r="P13" s="1262"/>
      <c r="Q13" s="1262"/>
      <c r="R13" s="1262"/>
      <c r="S13" s="1262"/>
      <c r="T13" s="1262"/>
      <c r="U13" s="1262"/>
      <c r="V13" s="1262"/>
      <c r="W13" s="1262"/>
      <c r="X13" s="1262"/>
      <c r="Y13" s="700"/>
    </row>
    <row r="14" spans="1:28">
      <c r="J14" s="721" t="s">
        <v>1104</v>
      </c>
      <c r="K14" s="725"/>
      <c r="L14" s="698"/>
      <c r="M14" s="698"/>
      <c r="N14" s="698"/>
      <c r="O14" s="698"/>
      <c r="P14" s="698"/>
      <c r="Q14" s="698"/>
      <c r="R14" s="698"/>
      <c r="S14" s="698"/>
      <c r="T14" s="698"/>
      <c r="U14" s="698"/>
      <c r="V14" s="698"/>
      <c r="W14" s="698"/>
      <c r="X14" s="698"/>
      <c r="Y14" s="700"/>
    </row>
    <row r="15" spans="1:28">
      <c r="J15" s="1270"/>
      <c r="K15" s="1440" t="s">
        <v>1103</v>
      </c>
      <c r="L15" s="1440"/>
      <c r="M15" s="1440"/>
      <c r="N15" s="1440"/>
      <c r="O15" s="1440"/>
      <c r="P15" s="1440"/>
      <c r="Q15" s="1440"/>
      <c r="R15" s="1440"/>
      <c r="S15" s="1440"/>
      <c r="T15" s="1440"/>
      <c r="U15" s="1440"/>
      <c r="V15" s="1440"/>
      <c r="W15" s="1440"/>
      <c r="X15" s="1440"/>
      <c r="Y15" s="700"/>
    </row>
    <row r="16" spans="1:28" ht="15" thickBot="1">
      <c r="A16" s="8"/>
      <c r="B16" s="1052" t="s">
        <v>933</v>
      </c>
      <c r="C16" s="1053" t="s">
        <v>937</v>
      </c>
      <c r="D16" s="1053" t="s">
        <v>933</v>
      </c>
      <c r="E16" s="1054" t="s">
        <v>935</v>
      </c>
      <c r="F16" s="8"/>
      <c r="G16" s="8"/>
      <c r="J16" s="702"/>
      <c r="K16" s="1441"/>
      <c r="L16" s="1441"/>
      <c r="M16" s="1441"/>
      <c r="N16" s="1441"/>
      <c r="O16" s="1441"/>
      <c r="P16" s="1441"/>
      <c r="Q16" s="1441"/>
      <c r="R16" s="1441"/>
      <c r="S16" s="1441"/>
      <c r="T16" s="1441"/>
      <c r="U16" s="1441"/>
      <c r="V16" s="1441"/>
      <c r="W16" s="1441"/>
      <c r="X16" s="1441"/>
      <c r="Y16" s="704"/>
    </row>
    <row r="17" spans="1:12">
      <c r="B17" s="1055" t="s">
        <v>934</v>
      </c>
      <c r="C17" s="1056" t="s">
        <v>938</v>
      </c>
      <c r="D17" s="1056" t="s">
        <v>348</v>
      </c>
      <c r="E17" s="1057" t="s">
        <v>936</v>
      </c>
    </row>
    <row r="18" spans="1:12">
      <c r="B18" s="1055">
        <f>IF(B19&gt;0,(B19),(80))</f>
        <v>80</v>
      </c>
      <c r="C18" s="1056">
        <f>IF(C19&gt;0,(C19),(305))</f>
        <v>305</v>
      </c>
      <c r="D18" s="1060">
        <f>B18*C18</f>
        <v>24400</v>
      </c>
      <c r="E18" s="1061">
        <f>(D18/1000000)*930</f>
        <v>22.692</v>
      </c>
      <c r="J18" s="8"/>
      <c r="K18" s="8"/>
      <c r="L18" s="8"/>
    </row>
    <row r="19" spans="1:12">
      <c r="A19" t="s">
        <v>944</v>
      </c>
      <c r="B19" s="1064"/>
      <c r="C19" s="1065"/>
      <c r="D19" s="1062"/>
      <c r="E19" s="1063"/>
      <c r="F19" s="562"/>
      <c r="G19" s="562"/>
      <c r="J19" s="8"/>
      <c r="K19" s="8"/>
      <c r="L19" s="8"/>
    </row>
    <row r="20" spans="1:12">
      <c r="B20" s="562"/>
      <c r="C20" s="562"/>
      <c r="D20" s="562"/>
      <c r="E20" s="562"/>
      <c r="F20" s="562"/>
      <c r="G20" s="562"/>
      <c r="J20" s="8"/>
      <c r="K20" s="8"/>
      <c r="L20" s="8"/>
    </row>
    <row r="21" spans="1:12">
      <c r="A21" s="8"/>
      <c r="B21" s="675"/>
      <c r="C21" s="675"/>
      <c r="D21" s="1058"/>
      <c r="E21" s="1058"/>
      <c r="F21" s="576"/>
      <c r="G21" s="862"/>
      <c r="H21" s="8"/>
      <c r="I21" s="8"/>
      <c r="J21" s="8"/>
      <c r="K21" s="8"/>
      <c r="L21" s="8"/>
    </row>
    <row r="22" spans="1:12">
      <c r="A22" s="8"/>
      <c r="B22" s="675"/>
      <c r="C22" s="675"/>
      <c r="D22" s="675"/>
      <c r="E22" s="675"/>
      <c r="F22" s="675"/>
      <c r="G22" s="8"/>
      <c r="H22" s="8"/>
      <c r="I22" s="8"/>
      <c r="J22" s="8"/>
      <c r="K22" s="8"/>
      <c r="L22" s="8"/>
    </row>
    <row r="23" spans="1:12">
      <c r="A23" s="8"/>
      <c r="B23" s="675"/>
      <c r="C23" s="675"/>
      <c r="D23" s="675"/>
      <c r="E23" s="675"/>
      <c r="F23" s="675"/>
      <c r="G23" s="8"/>
      <c r="H23" s="8"/>
      <c r="I23" s="8"/>
      <c r="J23" s="8"/>
      <c r="K23" s="8"/>
      <c r="L23" s="8"/>
    </row>
    <row r="24" spans="1:12">
      <c r="A24" s="8"/>
      <c r="B24" s="675"/>
      <c r="C24" s="675"/>
      <c r="D24" s="675"/>
      <c r="E24" s="675"/>
      <c r="F24" s="675"/>
      <c r="G24" s="8"/>
      <c r="H24" s="8"/>
      <c r="I24" s="8"/>
      <c r="J24" s="8"/>
      <c r="K24" s="8"/>
      <c r="L24" s="8"/>
    </row>
    <row r="25" spans="1:12">
      <c r="A25" s="585"/>
      <c r="B25" s="675"/>
      <c r="C25" s="675"/>
      <c r="D25" s="675"/>
      <c r="E25" s="675"/>
      <c r="F25" s="576"/>
      <c r="G25" s="862"/>
      <c r="H25" s="8"/>
      <c r="I25" s="8"/>
      <c r="J25" s="8"/>
      <c r="K25" s="8"/>
      <c r="L25" s="8"/>
    </row>
    <row r="26" spans="1:12">
      <c r="A26" s="8"/>
      <c r="B26" s="791"/>
      <c r="C26" s="792"/>
      <c r="D26" s="793"/>
      <c r="E26" s="792"/>
      <c r="F26" s="792"/>
      <c r="G26" s="792"/>
      <c r="H26" s="8"/>
      <c r="I26" s="8"/>
      <c r="J26" s="8"/>
      <c r="K26" s="8"/>
      <c r="L26" s="8"/>
    </row>
    <row r="27" spans="1:12">
      <c r="A27" s="8"/>
      <c r="B27" s="675"/>
      <c r="C27" s="675"/>
      <c r="D27" s="675"/>
      <c r="E27" s="675"/>
      <c r="F27" s="675"/>
      <c r="G27" s="675"/>
      <c r="H27" s="8"/>
      <c r="I27" s="8"/>
      <c r="J27" s="8"/>
      <c r="K27" s="8"/>
      <c r="L27" s="8"/>
    </row>
    <row r="28" spans="1:12">
      <c r="A28" s="8"/>
      <c r="B28" s="675"/>
      <c r="C28" s="675"/>
      <c r="D28" s="675"/>
      <c r="E28" s="675"/>
      <c r="F28" s="576"/>
      <c r="G28" s="862"/>
      <c r="H28" s="8"/>
      <c r="I28" s="8"/>
      <c r="J28" s="8"/>
      <c r="K28" s="8"/>
      <c r="L28" s="8"/>
    </row>
    <row r="29" spans="1:12">
      <c r="A29" s="8"/>
      <c r="B29" s="8"/>
      <c r="C29" s="8"/>
      <c r="D29" s="8"/>
      <c r="E29" s="8"/>
      <c r="F29" s="8"/>
      <c r="G29" s="8"/>
      <c r="H29" s="8"/>
      <c r="I29" s="8"/>
      <c r="J29" s="8"/>
      <c r="K29" s="8"/>
      <c r="L29" s="8"/>
    </row>
    <row r="30" spans="1:12">
      <c r="A30" s="8"/>
      <c r="B30" s="8"/>
      <c r="C30" s="8"/>
      <c r="D30" s="8"/>
      <c r="E30" s="8"/>
      <c r="F30" s="8"/>
      <c r="G30" s="8"/>
      <c r="H30" s="8"/>
      <c r="I30" s="8"/>
      <c r="J30" s="8"/>
      <c r="K30" s="8"/>
      <c r="L30" s="8"/>
    </row>
    <row r="31" spans="1:12">
      <c r="A31" s="8"/>
      <c r="B31" s="8"/>
      <c r="C31" s="8"/>
      <c r="D31" s="8"/>
      <c r="E31" s="8"/>
      <c r="F31" s="8"/>
      <c r="G31" s="8"/>
      <c r="H31" s="8"/>
      <c r="I31" s="8"/>
      <c r="J31" s="8"/>
      <c r="K31" s="8"/>
      <c r="L31" s="8"/>
    </row>
    <row r="32" spans="1:12">
      <c r="A32" s="8"/>
      <c r="B32" s="8"/>
      <c r="C32" s="8"/>
      <c r="D32" s="8"/>
      <c r="E32" s="8"/>
      <c r="F32" s="8"/>
      <c r="G32" s="8"/>
      <c r="H32" s="8"/>
      <c r="I32" s="8"/>
      <c r="J32" s="8"/>
      <c r="K32" s="8"/>
      <c r="L32" s="8"/>
    </row>
    <row r="33" spans="1:9">
      <c r="A33" s="8"/>
      <c r="B33" s="8"/>
      <c r="C33" s="8"/>
      <c r="D33" s="8"/>
      <c r="E33" s="8"/>
      <c r="F33" s="8"/>
      <c r="G33" s="8"/>
      <c r="H33" s="8"/>
      <c r="I33" s="8"/>
    </row>
    <row r="34" spans="1:9">
      <c r="A34" s="8"/>
      <c r="B34" s="8"/>
      <c r="C34" s="8"/>
      <c r="D34" s="8"/>
      <c r="E34" s="8"/>
      <c r="F34" s="8"/>
      <c r="G34" s="8"/>
      <c r="H34" s="8"/>
      <c r="I34" s="8"/>
    </row>
    <row r="35" spans="1:9">
      <c r="A35" s="8"/>
      <c r="B35" s="8"/>
      <c r="C35" s="8"/>
      <c r="D35" s="8"/>
      <c r="E35" s="8"/>
      <c r="F35" s="8"/>
      <c r="G35" s="8"/>
      <c r="H35" s="8"/>
      <c r="I35" s="8"/>
    </row>
  </sheetData>
  <sheetProtection password="A4FF" sheet="1" objects="1" scenarios="1"/>
  <mergeCells count="3">
    <mergeCell ref="B2:D2"/>
    <mergeCell ref="K11:X12"/>
    <mergeCell ref="K15:X1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rgb="FFFF99FF"/>
  </sheetPr>
  <dimension ref="A1:AC40"/>
  <sheetViews>
    <sheetView workbookViewId="0">
      <selection activeCell="E30" sqref="E30"/>
    </sheetView>
  </sheetViews>
  <sheetFormatPr baseColWidth="10" defaultColWidth="8.83203125" defaultRowHeight="14" x14ac:dyDescent="0"/>
  <cols>
    <col min="1" max="1" width="36" customWidth="1"/>
    <col min="2" max="2" width="10.1640625" bestFit="1" customWidth="1"/>
    <col min="3" max="3" width="12.5" customWidth="1"/>
    <col min="6" max="6" width="12.5" customWidth="1"/>
    <col min="8" max="8" width="21.1640625" customWidth="1"/>
    <col min="9" max="9" width="13.1640625" customWidth="1"/>
    <col min="10" max="10" width="12.33203125" style="63" customWidth="1"/>
    <col min="12" max="12" width="10.1640625" bestFit="1" customWidth="1"/>
    <col min="20" max="20" width="10" bestFit="1" customWidth="1"/>
    <col min="29" max="29" width="14.5" customWidth="1"/>
  </cols>
  <sheetData>
    <row r="1" spans="1:29" ht="19" thickBot="1">
      <c r="A1" s="705" t="s">
        <v>278</v>
      </c>
      <c r="B1" s="561"/>
    </row>
    <row r="2" spans="1:29" ht="19" thickBot="1">
      <c r="A2" s="729" t="s">
        <v>277</v>
      </c>
      <c r="B2" s="561"/>
      <c r="K2" s="718" t="s">
        <v>650</v>
      </c>
      <c r="L2" s="719"/>
      <c r="M2" s="719"/>
      <c r="N2" s="719"/>
      <c r="O2" s="719"/>
      <c r="P2" s="719"/>
      <c r="Q2" s="719"/>
      <c r="R2" s="719"/>
      <c r="S2" s="719"/>
      <c r="T2" s="719"/>
      <c r="U2" s="719"/>
      <c r="V2" s="719"/>
      <c r="W2" s="719"/>
      <c r="X2" s="719"/>
      <c r="Y2" s="719"/>
      <c r="Z2" s="719"/>
      <c r="AA2" s="719"/>
      <c r="AB2" s="719"/>
      <c r="AC2" s="699"/>
    </row>
    <row r="3" spans="1:29" ht="25" thickBot="1">
      <c r="A3" s="748" t="s">
        <v>748</v>
      </c>
      <c r="B3" s="561"/>
      <c r="H3" s="604"/>
      <c r="I3" s="604"/>
      <c r="K3" s="721"/>
      <c r="L3" s="698"/>
      <c r="M3" s="698"/>
      <c r="N3" s="698"/>
      <c r="O3" s="698"/>
      <c r="P3" s="698"/>
      <c r="Q3" s="698"/>
      <c r="R3" s="698"/>
      <c r="S3" s="698"/>
      <c r="T3" s="698"/>
      <c r="U3" s="698"/>
      <c r="V3" s="698"/>
      <c r="W3" s="698"/>
      <c r="X3" s="698"/>
      <c r="Y3" s="698"/>
      <c r="Z3" s="698"/>
      <c r="AA3" s="698"/>
      <c r="AB3" s="698"/>
      <c r="AC3" s="700"/>
    </row>
    <row r="4" spans="1:29">
      <c r="A4" s="208"/>
      <c r="B4" s="676"/>
      <c r="K4" s="744" t="s">
        <v>751</v>
      </c>
      <c r="L4" s="697"/>
      <c r="M4" s="697"/>
      <c r="N4" s="697"/>
      <c r="O4" s="697"/>
      <c r="P4" s="697"/>
      <c r="Q4" s="697"/>
      <c r="R4" s="697"/>
      <c r="S4" s="697"/>
      <c r="T4" s="697"/>
      <c r="U4" s="697"/>
      <c r="V4" s="697"/>
      <c r="W4" s="697"/>
      <c r="X4" s="698"/>
      <c r="Y4" s="698"/>
      <c r="Z4" s="698"/>
      <c r="AA4" s="698"/>
      <c r="AB4" s="698"/>
      <c r="AC4" s="700"/>
    </row>
    <row r="5" spans="1:29" ht="15" thickBot="1">
      <c r="A5" s="735" t="s">
        <v>750</v>
      </c>
      <c r="B5" s="734">
        <f>B6+B17+(B9*(0.65))</f>
        <v>8185363.8796675</v>
      </c>
      <c r="C5" s="350"/>
      <c r="K5" s="720"/>
      <c r="L5" s="701"/>
      <c r="M5" s="698"/>
      <c r="N5" s="698"/>
      <c r="O5" s="698"/>
      <c r="P5" s="698"/>
      <c r="Q5" s="698"/>
      <c r="R5" s="698"/>
      <c r="S5" s="698"/>
      <c r="T5" s="698"/>
      <c r="U5" s="698"/>
      <c r="V5" s="698"/>
      <c r="W5" s="698"/>
      <c r="X5" s="698"/>
      <c r="Y5" s="698"/>
      <c r="Z5" s="698"/>
      <c r="AA5" s="698"/>
      <c r="AB5" s="698"/>
      <c r="AC5" s="700"/>
    </row>
    <row r="6" spans="1:29" ht="15" thickBot="1">
      <c r="A6" s="708" t="s">
        <v>380</v>
      </c>
      <c r="B6" s="767">
        <v>597029</v>
      </c>
      <c r="C6" s="1031">
        <f>IF(C9&gt;0,(B9/(1.9355*B12)),B6)</f>
        <v>597029</v>
      </c>
      <c r="D6" s="735" t="s">
        <v>912</v>
      </c>
      <c r="E6" s="735"/>
      <c r="F6" s="735"/>
      <c r="K6" s="780" t="s">
        <v>796</v>
      </c>
      <c r="L6" s="698"/>
      <c r="M6" s="698"/>
      <c r="N6" s="698"/>
      <c r="O6" s="698"/>
      <c r="P6" s="698"/>
      <c r="Q6" s="698"/>
      <c r="R6" s="698"/>
      <c r="S6" s="698"/>
      <c r="T6" s="698"/>
      <c r="U6" s="698"/>
      <c r="V6" s="698"/>
      <c r="W6" s="698"/>
      <c r="X6" s="698"/>
      <c r="Y6" s="698"/>
      <c r="Z6" s="698"/>
      <c r="AA6" s="698"/>
      <c r="AB6" s="698"/>
      <c r="AC6" s="700"/>
    </row>
    <row r="7" spans="1:29">
      <c r="A7" s="753" t="s">
        <v>381</v>
      </c>
      <c r="B7" s="754">
        <f>B6-B8</f>
        <v>305678.848</v>
      </c>
      <c r="C7" s="601"/>
      <c r="K7" s="780"/>
      <c r="L7" s="698"/>
      <c r="M7" s="698"/>
      <c r="N7" s="698"/>
      <c r="O7" s="698"/>
      <c r="P7" s="698"/>
      <c r="Q7" s="698"/>
      <c r="R7" s="698"/>
      <c r="S7" s="698"/>
      <c r="T7" s="698"/>
      <c r="U7" s="698"/>
      <c r="V7" s="698"/>
      <c r="W7" s="698"/>
      <c r="X7" s="698"/>
      <c r="Y7" s="698"/>
      <c r="Z7" s="698"/>
      <c r="AA7" s="698"/>
      <c r="AB7" s="698"/>
      <c r="AC7" s="700"/>
    </row>
    <row r="8" spans="1:29" ht="15" thickBot="1">
      <c r="A8" s="753" t="s">
        <v>382</v>
      </c>
      <c r="B8" s="734">
        <f>B24</f>
        <v>291350.152</v>
      </c>
      <c r="D8" s="1442" t="s">
        <v>915</v>
      </c>
      <c r="E8" s="1443"/>
      <c r="F8" s="1443"/>
      <c r="G8" s="1443"/>
      <c r="H8" s="1443"/>
      <c r="I8" s="786"/>
      <c r="K8" s="780" t="s">
        <v>763</v>
      </c>
      <c r="L8" s="698"/>
      <c r="M8" s="698"/>
      <c r="N8" s="698"/>
      <c r="O8" s="698"/>
      <c r="P8" s="698"/>
      <c r="Q8" s="698"/>
      <c r="R8" s="698"/>
      <c r="S8" s="698"/>
      <c r="T8" s="698"/>
      <c r="U8" s="698"/>
      <c r="V8" s="698"/>
      <c r="W8" s="698"/>
      <c r="X8" s="698"/>
      <c r="Y8" s="698"/>
      <c r="Z8" s="698"/>
      <c r="AA8" s="698"/>
      <c r="AB8" s="698"/>
      <c r="AC8" s="700"/>
    </row>
    <row r="9" spans="1:29" ht="15" thickBot="1">
      <c r="A9" s="735" t="s">
        <v>764</v>
      </c>
      <c r="B9" s="1032">
        <f>IF(C9&gt;0,C9,((B6-(B6*0.043))*B12*2)+(B6*0.043*B12*0.5))</f>
        <v>11671051.25795</v>
      </c>
      <c r="C9" s="1030"/>
      <c r="D9" s="1443"/>
      <c r="E9" s="1443"/>
      <c r="F9" s="1443"/>
      <c r="G9" s="1443"/>
      <c r="H9" s="1443"/>
      <c r="I9" s="786"/>
      <c r="K9" s="721" t="s">
        <v>752</v>
      </c>
      <c r="L9" s="698"/>
      <c r="M9" s="698"/>
      <c r="N9" s="698"/>
      <c r="O9" s="698"/>
      <c r="P9" s="698"/>
      <c r="Q9" s="698"/>
      <c r="R9" s="698"/>
      <c r="S9" s="698"/>
      <c r="T9" s="698"/>
      <c r="U9" s="698"/>
      <c r="V9" s="698"/>
      <c r="W9" s="698"/>
      <c r="X9" s="698"/>
      <c r="Y9" s="698"/>
      <c r="Z9" s="698"/>
      <c r="AA9" s="698"/>
      <c r="AB9" s="698"/>
      <c r="AC9" s="700"/>
    </row>
    <row r="10" spans="1:29">
      <c r="A10" s="735" t="s">
        <v>383</v>
      </c>
      <c r="B10" s="734">
        <f>(B9-B27-B8)+(B7*0.043)</f>
        <v>10352648.5952504</v>
      </c>
      <c r="D10" s="1022" t="s">
        <v>914</v>
      </c>
      <c r="E10" s="1024"/>
      <c r="F10" s="1027"/>
      <c r="G10" s="1023"/>
      <c r="H10" s="1027"/>
      <c r="I10" s="1029"/>
      <c r="K10" s="721"/>
      <c r="L10" s="725" t="s">
        <v>760</v>
      </c>
      <c r="M10" s="698"/>
      <c r="N10" s="698"/>
      <c r="O10" s="698"/>
      <c r="P10" s="698"/>
      <c r="Q10" s="698"/>
      <c r="R10" s="698"/>
      <c r="S10" s="698"/>
      <c r="T10" s="698"/>
      <c r="U10" s="698"/>
      <c r="V10" s="698"/>
      <c r="W10" s="698"/>
      <c r="X10" s="698"/>
      <c r="Y10" s="698"/>
      <c r="Z10" s="698"/>
      <c r="AA10" s="698"/>
      <c r="AB10" s="698"/>
      <c r="AC10" s="700"/>
    </row>
    <row r="11" spans="1:29">
      <c r="A11" s="735"/>
      <c r="B11" s="734"/>
      <c r="D11" s="1023" t="s">
        <v>916</v>
      </c>
      <c r="E11" s="1024"/>
      <c r="F11" s="1025"/>
      <c r="G11" s="1023"/>
      <c r="H11" s="1025"/>
      <c r="I11" s="563"/>
      <c r="K11" s="721"/>
      <c r="L11" s="725"/>
      <c r="M11" s="698"/>
      <c r="N11" s="698"/>
      <c r="O11" s="698"/>
      <c r="P11" s="698"/>
      <c r="Q11" s="698"/>
      <c r="R11" s="698"/>
      <c r="S11" s="698"/>
      <c r="T11" s="698"/>
      <c r="U11" s="698"/>
      <c r="V11" s="698"/>
      <c r="W11" s="698"/>
      <c r="X11" s="698"/>
      <c r="Y11" s="698"/>
      <c r="Z11" s="698"/>
      <c r="AA11" s="698"/>
      <c r="AB11" s="698"/>
      <c r="AC11" s="700"/>
    </row>
    <row r="12" spans="1:29">
      <c r="A12" s="708" t="s">
        <v>749</v>
      </c>
      <c r="B12" s="767">
        <v>10.1</v>
      </c>
      <c r="C12" s="350" t="s">
        <v>753</v>
      </c>
      <c r="E12" s="562"/>
      <c r="F12" s="561"/>
      <c r="H12" s="561"/>
      <c r="I12" s="561"/>
      <c r="K12" s="721" t="s">
        <v>761</v>
      </c>
      <c r="L12" s="698"/>
      <c r="M12" s="698"/>
      <c r="N12" s="698"/>
      <c r="O12" s="698"/>
      <c r="P12" s="698"/>
      <c r="Q12" s="698"/>
      <c r="R12" s="698"/>
      <c r="S12" s="698"/>
      <c r="T12" s="698"/>
      <c r="U12" s="698"/>
      <c r="V12" s="698"/>
      <c r="W12" s="698"/>
      <c r="X12" s="698"/>
      <c r="Y12" s="698"/>
      <c r="Z12" s="698"/>
      <c r="AA12" s="698"/>
      <c r="AB12" s="698"/>
      <c r="AC12" s="700"/>
    </row>
    <row r="13" spans="1:29" ht="15" thickBot="1">
      <c r="A13" s="63"/>
      <c r="B13" s="597"/>
      <c r="E13" s="562"/>
      <c r="F13" s="561"/>
      <c r="G13" s="561"/>
      <c r="H13" s="561"/>
      <c r="I13" s="561"/>
      <c r="K13" s="721"/>
      <c r="L13" s="725" t="s">
        <v>762</v>
      </c>
      <c r="M13" s="698"/>
      <c r="N13" s="698"/>
      <c r="O13" s="698"/>
      <c r="P13" s="698"/>
      <c r="Q13" s="698"/>
      <c r="R13" s="698"/>
      <c r="S13" s="698"/>
      <c r="T13" s="698"/>
      <c r="U13" s="698"/>
      <c r="V13" s="698"/>
      <c r="W13" s="698"/>
      <c r="X13" s="698"/>
      <c r="Y13" s="698"/>
      <c r="Z13" s="698"/>
      <c r="AA13" s="698"/>
      <c r="AB13" s="698"/>
      <c r="AC13" s="700"/>
    </row>
    <row r="14" spans="1:29" ht="15" thickBot="1">
      <c r="A14" s="859" t="s">
        <v>795</v>
      </c>
      <c r="B14" s="1268">
        <f>IF(B6=0,B9,0)</f>
        <v>0</v>
      </c>
      <c r="C14" s="1028" t="s">
        <v>913</v>
      </c>
      <c r="D14" s="1023"/>
      <c r="E14" s="1024"/>
      <c r="F14" s="1025"/>
      <c r="G14" s="1026"/>
      <c r="H14" s="1025"/>
      <c r="I14" s="1025"/>
      <c r="K14" s="721"/>
      <c r="L14" s="698"/>
      <c r="M14" s="698"/>
      <c r="N14" s="698"/>
      <c r="O14" s="698"/>
      <c r="P14" s="698"/>
      <c r="Q14" s="698"/>
      <c r="R14" s="698"/>
      <c r="S14" s="725"/>
      <c r="T14" s="698"/>
      <c r="U14" s="698"/>
      <c r="V14" s="698"/>
      <c r="W14" s="698"/>
      <c r="X14" s="698"/>
      <c r="Y14" s="698"/>
      <c r="Z14" s="698"/>
      <c r="AA14" s="698"/>
      <c r="AB14" s="698"/>
      <c r="AC14" s="700"/>
    </row>
    <row r="15" spans="1:29">
      <c r="A15" s="575"/>
      <c r="B15" s="676"/>
      <c r="E15" s="562"/>
      <c r="F15" s="561"/>
      <c r="G15" s="561"/>
      <c r="H15" s="5"/>
      <c r="I15" s="5"/>
      <c r="K15" s="720" t="s">
        <v>754</v>
      </c>
      <c r="L15" s="701"/>
      <c r="M15" s="698"/>
      <c r="N15" s="698"/>
      <c r="O15" s="698"/>
      <c r="P15" s="698"/>
      <c r="Q15" s="698"/>
      <c r="R15" s="698"/>
      <c r="S15" s="698"/>
      <c r="T15" s="698"/>
      <c r="U15" s="698"/>
      <c r="V15" s="698"/>
      <c r="W15" s="698"/>
      <c r="X15" s="698"/>
      <c r="Y15" s="698"/>
      <c r="Z15" s="698"/>
      <c r="AA15" s="698"/>
      <c r="AB15" s="698"/>
      <c r="AC15" s="700"/>
    </row>
    <row r="16" spans="1:29" ht="15" thickBot="1">
      <c r="A16" s="575"/>
      <c r="B16" s="597"/>
      <c r="K16" s="720" t="s">
        <v>755</v>
      </c>
      <c r="L16" s="725"/>
      <c r="M16" s="698"/>
      <c r="N16" s="698"/>
      <c r="O16" s="698"/>
      <c r="P16" s="698"/>
      <c r="Q16" s="698"/>
      <c r="R16" s="698"/>
      <c r="S16" s="698"/>
      <c r="T16" s="698"/>
      <c r="U16" s="698"/>
      <c r="V16" s="698"/>
      <c r="W16" s="698"/>
      <c r="X16" s="698"/>
      <c r="Y16" s="698"/>
      <c r="Z16" s="698"/>
      <c r="AA16" s="698"/>
      <c r="AB16" s="698"/>
      <c r="AC16" s="700"/>
    </row>
    <row r="17" spans="1:29">
      <c r="A17" s="775" t="s">
        <v>756</v>
      </c>
      <c r="B17" s="779">
        <f>IF(B6=0,0,(B22*5)+(B21*3)+(B20*2)+(B19*1))</f>
        <v>2151.5619999999999</v>
      </c>
      <c r="C17" s="776" t="s">
        <v>757</v>
      </c>
      <c r="D17" s="206"/>
      <c r="E17" s="13"/>
      <c r="F17" s="14"/>
      <c r="H17" s="5"/>
      <c r="I17" s="5"/>
      <c r="K17" s="720"/>
      <c r="L17" s="740"/>
      <c r="M17" s="698"/>
      <c r="N17" s="698"/>
      <c r="O17" s="698"/>
      <c r="P17" s="698"/>
      <c r="Q17" s="698"/>
      <c r="R17" s="698"/>
      <c r="S17" s="698"/>
      <c r="T17" s="698"/>
      <c r="U17" s="698"/>
      <c r="V17" s="698"/>
      <c r="W17" s="698"/>
      <c r="X17" s="698"/>
      <c r="Y17" s="698"/>
      <c r="Z17" s="698"/>
      <c r="AA17" s="698"/>
      <c r="AB17" s="698"/>
      <c r="AC17" s="700"/>
    </row>
    <row r="18" spans="1:29">
      <c r="A18" s="759">
        <v>0</v>
      </c>
      <c r="B18" s="777">
        <f>F18*0.648</f>
        <v>2839.5360000000001</v>
      </c>
      <c r="C18" s="208"/>
      <c r="D18" s="208"/>
      <c r="E18" s="707" t="s">
        <v>273</v>
      </c>
      <c r="F18" s="771">
        <v>4382</v>
      </c>
      <c r="H18" s="5"/>
      <c r="I18" s="5"/>
      <c r="J18" s="597"/>
      <c r="K18" s="720" t="s">
        <v>758</v>
      </c>
      <c r="L18" s="740"/>
      <c r="M18" s="698"/>
      <c r="N18" s="698"/>
      <c r="O18" s="698"/>
      <c r="P18" s="698"/>
      <c r="Q18" s="698"/>
      <c r="R18" s="698"/>
      <c r="S18" s="698"/>
      <c r="T18" s="698"/>
      <c r="U18" s="698"/>
      <c r="V18" s="698"/>
      <c r="W18" s="698"/>
      <c r="X18" s="698"/>
      <c r="Y18" s="698"/>
      <c r="Z18" s="698"/>
      <c r="AA18" s="698"/>
      <c r="AB18" s="698"/>
      <c r="AC18" s="700"/>
    </row>
    <row r="19" spans="1:29">
      <c r="A19" s="759">
        <v>1</v>
      </c>
      <c r="B19" s="777">
        <f>F18*0.269</f>
        <v>1178.758</v>
      </c>
      <c r="C19" s="208"/>
      <c r="D19" s="208"/>
      <c r="E19" s="208"/>
      <c r="F19" s="595"/>
      <c r="H19" s="5"/>
      <c r="I19" s="5"/>
      <c r="K19" s="720"/>
      <c r="L19" s="725" t="s">
        <v>759</v>
      </c>
      <c r="M19" s="698"/>
      <c r="N19" s="698"/>
      <c r="O19" s="698"/>
      <c r="P19" s="698"/>
      <c r="Q19" s="698"/>
      <c r="R19" s="698"/>
      <c r="S19" s="698"/>
      <c r="T19" s="698"/>
      <c r="U19" s="698"/>
      <c r="V19" s="698"/>
      <c r="W19" s="698"/>
      <c r="X19" s="698"/>
      <c r="Y19" s="698"/>
      <c r="Z19" s="698"/>
      <c r="AA19" s="698"/>
      <c r="AB19" s="698"/>
      <c r="AC19" s="700"/>
    </row>
    <row r="20" spans="1:29" ht="15" thickBot="1">
      <c r="A20" s="759">
        <v>2</v>
      </c>
      <c r="B20" s="777">
        <f>F18*0.055</f>
        <v>241.01</v>
      </c>
      <c r="C20" s="208"/>
      <c r="D20" s="208"/>
      <c r="E20" s="208"/>
      <c r="F20" s="595"/>
      <c r="K20" s="702"/>
      <c r="L20" s="743"/>
      <c r="M20" s="703"/>
      <c r="N20" s="703"/>
      <c r="O20" s="703"/>
      <c r="P20" s="703"/>
      <c r="Q20" s="703"/>
      <c r="R20" s="703"/>
      <c r="S20" s="703"/>
      <c r="T20" s="703"/>
      <c r="U20" s="703"/>
      <c r="V20" s="703"/>
      <c r="W20" s="703"/>
      <c r="X20" s="703"/>
      <c r="Y20" s="703"/>
      <c r="Z20" s="703"/>
      <c r="AA20" s="703"/>
      <c r="AB20" s="703"/>
      <c r="AC20" s="704"/>
    </row>
    <row r="21" spans="1:29">
      <c r="A21" s="760">
        <v>3</v>
      </c>
      <c r="B21" s="777">
        <f>F18*0.014</f>
        <v>61.347999999999999</v>
      </c>
      <c r="C21" s="208"/>
      <c r="D21" s="208"/>
      <c r="E21" s="208"/>
      <c r="F21" s="595"/>
      <c r="L21" s="8"/>
      <c r="M21" s="8"/>
      <c r="N21" s="8"/>
      <c r="O21" s="8"/>
      <c r="P21" s="8"/>
      <c r="Q21" s="8"/>
      <c r="R21" s="8"/>
      <c r="S21" s="8"/>
      <c r="T21" s="8"/>
      <c r="U21" s="8"/>
      <c r="V21" s="8"/>
    </row>
    <row r="22" spans="1:29" ht="15" thickBot="1">
      <c r="A22" s="761" t="s">
        <v>384</v>
      </c>
      <c r="B22" s="778">
        <f>F18*0.014</f>
        <v>61.347999999999999</v>
      </c>
      <c r="C22" s="757"/>
      <c r="D22" s="757"/>
      <c r="E22" s="757"/>
      <c r="F22" s="758"/>
      <c r="L22" s="8"/>
      <c r="M22" s="599"/>
      <c r="N22" s="8"/>
      <c r="O22" s="8"/>
      <c r="P22" s="8"/>
      <c r="Q22" s="8"/>
      <c r="R22" s="8"/>
      <c r="S22" s="8"/>
      <c r="T22" s="8"/>
      <c r="U22" s="8"/>
      <c r="V22" s="8"/>
    </row>
    <row r="23" spans="1:29" ht="15" thickBot="1">
      <c r="A23" s="562"/>
      <c r="B23" s="5"/>
      <c r="L23" s="599"/>
      <c r="M23" s="8"/>
      <c r="N23" s="8"/>
      <c r="O23" s="8"/>
      <c r="P23" s="8"/>
      <c r="Q23" s="8"/>
      <c r="R23" s="8"/>
      <c r="S23" s="8"/>
      <c r="T23" s="8"/>
      <c r="U23" s="8"/>
      <c r="V23" s="8"/>
    </row>
    <row r="24" spans="1:29">
      <c r="A24" s="755" t="s">
        <v>385</v>
      </c>
      <c r="B24" s="772">
        <f>B6*0.488</f>
        <v>291350.152</v>
      </c>
      <c r="C24" s="599"/>
      <c r="D24" s="8"/>
      <c r="E24" s="8"/>
      <c r="F24" s="8"/>
      <c r="G24" s="8"/>
      <c r="L24" s="599"/>
      <c r="M24" s="8"/>
      <c r="N24" s="8"/>
      <c r="O24" s="8"/>
      <c r="P24" s="8"/>
      <c r="Q24" s="8"/>
      <c r="R24" s="8"/>
      <c r="S24" s="8"/>
      <c r="T24" s="8"/>
      <c r="U24" s="8"/>
      <c r="V24" s="8"/>
    </row>
    <row r="25" spans="1:29">
      <c r="A25" s="762" t="s">
        <v>387</v>
      </c>
      <c r="B25" s="773">
        <f>IF(B6=0,0,(((B9/0.868)/0.919)-B9))</f>
        <v>2959973.3203960285</v>
      </c>
      <c r="C25" s="599"/>
      <c r="D25" s="8"/>
      <c r="E25" s="8"/>
      <c r="F25" s="8"/>
      <c r="G25" s="8"/>
      <c r="L25" s="599"/>
      <c r="M25" s="8"/>
      <c r="N25" s="8"/>
      <c r="O25" s="8"/>
      <c r="P25" s="8"/>
      <c r="Q25" s="8"/>
      <c r="R25" s="8"/>
      <c r="S25" s="8"/>
      <c r="T25" s="8"/>
      <c r="U25" s="8"/>
      <c r="V25" s="8"/>
    </row>
    <row r="26" spans="1:29">
      <c r="A26" s="762"/>
      <c r="B26" s="773"/>
      <c r="C26" s="599"/>
      <c r="D26" s="8"/>
      <c r="E26" s="8"/>
      <c r="F26" s="8"/>
      <c r="G26" s="8"/>
      <c r="L26" s="8"/>
      <c r="M26" s="8"/>
      <c r="N26" s="8"/>
      <c r="O26" s="8"/>
      <c r="P26" s="8"/>
      <c r="Q26" s="8"/>
      <c r="R26" s="8"/>
      <c r="S26" s="8"/>
      <c r="T26" s="8"/>
      <c r="U26" s="8"/>
      <c r="V26" s="8"/>
    </row>
    <row r="27" spans="1:29" ht="15" thickBot="1">
      <c r="A27" s="763" t="s">
        <v>388</v>
      </c>
      <c r="B27" s="774">
        <f>(B9*0.088)+(B7*0.043)</f>
        <v>1040196.7011636</v>
      </c>
      <c r="C27" s="674"/>
      <c r="D27" s="8"/>
      <c r="E27" s="8"/>
      <c r="F27" s="8"/>
      <c r="G27" s="8"/>
      <c r="L27" s="8"/>
      <c r="M27" s="8"/>
      <c r="N27" s="8"/>
      <c r="O27" s="8"/>
      <c r="P27" s="8"/>
      <c r="Q27" s="8"/>
      <c r="R27" s="8"/>
      <c r="S27" s="8"/>
      <c r="T27" s="8"/>
      <c r="U27" s="8"/>
      <c r="V27" s="8"/>
    </row>
    <row r="28" spans="1:29">
      <c r="B28" s="5"/>
      <c r="L28" s="8"/>
      <c r="M28" s="8"/>
      <c r="N28" s="8"/>
      <c r="O28" s="8"/>
      <c r="P28" s="8"/>
      <c r="Q28" s="8"/>
      <c r="R28" s="8"/>
      <c r="S28" s="8"/>
      <c r="T28" s="8"/>
      <c r="U28" s="8"/>
      <c r="V28" s="8"/>
    </row>
    <row r="29" spans="1:29">
      <c r="L29" s="599"/>
      <c r="M29" s="8"/>
      <c r="N29" s="8"/>
      <c r="O29" s="8"/>
      <c r="P29" s="8"/>
      <c r="Q29" s="8"/>
      <c r="R29" s="8"/>
      <c r="S29" s="8"/>
      <c r="T29" s="8"/>
      <c r="U29" s="8"/>
      <c r="V29" s="8"/>
      <c r="W29" s="566"/>
      <c r="X29" s="603"/>
    </row>
    <row r="30" spans="1:29">
      <c r="L30" s="8"/>
      <c r="M30" s="8"/>
      <c r="N30" s="8"/>
      <c r="O30" s="8"/>
      <c r="P30" s="8"/>
      <c r="Q30" s="8"/>
      <c r="R30" s="8"/>
      <c r="S30" s="8"/>
      <c r="T30" s="8"/>
      <c r="U30" s="8"/>
      <c r="V30" s="8"/>
      <c r="W30" s="566"/>
    </row>
    <row r="31" spans="1:29">
      <c r="L31" s="8"/>
      <c r="M31" s="8"/>
      <c r="N31" s="8"/>
      <c r="O31" s="8"/>
      <c r="P31" s="8"/>
      <c r="Q31" s="8"/>
      <c r="R31" s="8"/>
      <c r="S31" s="8"/>
      <c r="T31" s="8"/>
      <c r="U31" s="8"/>
      <c r="V31" s="8"/>
      <c r="W31" s="566"/>
    </row>
    <row r="32" spans="1:29">
      <c r="L32" s="8"/>
      <c r="M32" s="8"/>
      <c r="N32" s="8"/>
      <c r="O32" s="8"/>
      <c r="P32" s="8"/>
      <c r="Q32" s="8"/>
      <c r="R32" s="8"/>
      <c r="S32" s="8"/>
      <c r="T32" s="8"/>
      <c r="U32" s="8"/>
      <c r="V32" s="8"/>
      <c r="W32" s="566"/>
    </row>
    <row r="33" spans="12:23">
      <c r="L33" s="8"/>
      <c r="M33" s="8"/>
      <c r="N33" s="8"/>
      <c r="O33" s="8"/>
      <c r="P33" s="8"/>
      <c r="Q33" s="8"/>
      <c r="R33" s="8"/>
      <c r="S33" s="8"/>
      <c r="T33" s="8"/>
      <c r="U33" s="8"/>
      <c r="V33" s="8"/>
      <c r="W33" s="566"/>
    </row>
    <row r="34" spans="12:23">
      <c r="L34" s="8"/>
      <c r="M34" s="8"/>
      <c r="N34" s="8"/>
      <c r="O34" s="8"/>
      <c r="P34" s="8"/>
      <c r="Q34" s="8"/>
      <c r="R34" s="8"/>
      <c r="S34" s="8"/>
      <c r="T34" s="8"/>
      <c r="U34" s="8"/>
      <c r="V34" s="8"/>
    </row>
    <row r="35" spans="12:23">
      <c r="L35" s="8"/>
      <c r="M35" s="8"/>
      <c r="N35" s="8"/>
      <c r="O35" s="8"/>
      <c r="P35" s="8"/>
      <c r="Q35" s="8"/>
      <c r="R35" s="8"/>
      <c r="S35" s="8"/>
      <c r="T35" s="8"/>
      <c r="U35" s="8"/>
      <c r="V35" s="8"/>
    </row>
    <row r="36" spans="12:23">
      <c r="L36" s="8"/>
      <c r="M36" s="8"/>
      <c r="N36" s="8"/>
      <c r="O36" s="8"/>
      <c r="P36" s="8"/>
      <c r="Q36" s="8"/>
      <c r="R36" s="8"/>
      <c r="S36" s="8"/>
      <c r="T36" s="8"/>
      <c r="U36" s="8"/>
      <c r="V36" s="8"/>
    </row>
    <row r="37" spans="12:23">
      <c r="L37" s="8"/>
      <c r="M37" s="8"/>
      <c r="N37" s="8"/>
      <c r="O37" s="8"/>
      <c r="P37" s="8"/>
      <c r="Q37" s="8"/>
      <c r="R37" s="8"/>
      <c r="S37" s="8"/>
      <c r="T37" s="8"/>
      <c r="U37" s="8"/>
      <c r="V37" s="8"/>
    </row>
    <row r="38" spans="12:23">
      <c r="L38" s="8"/>
      <c r="M38" s="8"/>
      <c r="N38" s="8"/>
      <c r="O38" s="8"/>
      <c r="P38" s="8"/>
      <c r="Q38" s="8"/>
      <c r="R38" s="8"/>
      <c r="S38" s="8"/>
      <c r="T38" s="8"/>
      <c r="U38" s="8"/>
      <c r="V38" s="8"/>
    </row>
    <row r="39" spans="12:23">
      <c r="L39" s="8"/>
      <c r="M39" s="8"/>
      <c r="N39" s="8"/>
      <c r="O39" s="8"/>
      <c r="P39" s="8"/>
      <c r="Q39" s="8"/>
      <c r="R39" s="8"/>
      <c r="S39" s="8"/>
      <c r="T39" s="8"/>
      <c r="U39" s="8"/>
      <c r="V39" s="8"/>
    </row>
    <row r="40" spans="12:23">
      <c r="L40" s="8"/>
      <c r="M40" s="8"/>
      <c r="N40" s="8"/>
      <c r="O40" s="8"/>
      <c r="P40" s="8"/>
      <c r="Q40" s="8"/>
      <c r="R40" s="8"/>
      <c r="S40" s="8"/>
      <c r="T40" s="8"/>
      <c r="U40" s="8"/>
      <c r="V40" s="8"/>
    </row>
  </sheetData>
  <sheetProtection password="A4FF" sheet="1" objects="1" scenarios="1"/>
  <mergeCells count="1">
    <mergeCell ref="D8:H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rgb="FFFF99FF"/>
    <pageSetUpPr fitToPage="1"/>
  </sheetPr>
  <dimension ref="A1:AF77"/>
  <sheetViews>
    <sheetView workbookViewId="0">
      <pane xSplit="1" topLeftCell="E1" activePane="topRight" state="frozen"/>
      <selection activeCell="E26" sqref="E26"/>
      <selection pane="topRight" activeCell="H81" sqref="H81"/>
    </sheetView>
  </sheetViews>
  <sheetFormatPr baseColWidth="10" defaultColWidth="8.83203125" defaultRowHeight="14" x14ac:dyDescent="0"/>
  <cols>
    <col min="1" max="1" width="46.5" customWidth="1"/>
    <col min="2" max="2" width="21.6640625" customWidth="1"/>
    <col min="3" max="3" width="14.83203125" style="562" customWidth="1"/>
    <col min="4" max="4" width="19" style="562" customWidth="1"/>
    <col min="5" max="5" width="20.1640625" style="562" customWidth="1"/>
    <col min="6" max="6" width="17.83203125" style="562" customWidth="1"/>
    <col min="7" max="7" width="19.5" style="562" customWidth="1"/>
    <col min="8" max="8" width="16.33203125" customWidth="1"/>
    <col min="9" max="9" width="19" customWidth="1"/>
    <col min="10" max="10" width="14.33203125" customWidth="1"/>
    <col min="11" max="11" width="19.5" customWidth="1"/>
    <col min="12" max="12" width="16.33203125" customWidth="1"/>
    <col min="13" max="13" width="19.33203125" customWidth="1"/>
    <col min="14" max="14" width="12" customWidth="1"/>
    <col min="15" max="15" width="9" customWidth="1"/>
    <col min="16" max="16" width="17.33203125" customWidth="1"/>
    <col min="17" max="17" width="17" customWidth="1"/>
    <col min="18" max="18" width="16.5" customWidth="1"/>
    <col min="19" max="19" width="19.5" customWidth="1"/>
    <col min="20" max="20" width="17.5" customWidth="1"/>
    <col min="21" max="21" width="22.1640625" customWidth="1"/>
    <col min="22" max="22" width="20.1640625" customWidth="1"/>
    <col min="23" max="23" width="18.6640625" customWidth="1"/>
    <col min="24" max="24" width="13.83203125" customWidth="1"/>
    <col min="31" max="31" width="14.1640625" customWidth="1"/>
    <col min="32" max="32" width="15.33203125" customWidth="1"/>
  </cols>
  <sheetData>
    <row r="1" spans="1:26" s="573" customFormat="1" ht="36" customHeight="1" thickBot="1">
      <c r="A1" s="748" t="s">
        <v>887</v>
      </c>
      <c r="B1" s="863" t="s">
        <v>431</v>
      </c>
      <c r="C1" s="784" t="s">
        <v>386</v>
      </c>
      <c r="D1" s="784" t="s">
        <v>386</v>
      </c>
      <c r="E1" s="784" t="s">
        <v>389</v>
      </c>
      <c r="F1" s="784" t="s">
        <v>390</v>
      </c>
      <c r="G1" s="784" t="s">
        <v>407</v>
      </c>
      <c r="H1" s="784" t="s">
        <v>391</v>
      </c>
      <c r="I1" s="784" t="s">
        <v>225</v>
      </c>
      <c r="J1" s="784" t="s">
        <v>415</v>
      </c>
    </row>
    <row r="2" spans="1:26">
      <c r="A2" s="554" t="s">
        <v>374</v>
      </c>
      <c r="B2" s="675" t="s">
        <v>769</v>
      </c>
      <c r="C2" s="960" t="s">
        <v>433</v>
      </c>
      <c r="D2" s="576" t="s">
        <v>397</v>
      </c>
      <c r="E2" s="576" t="s">
        <v>402</v>
      </c>
      <c r="F2" s="576">
        <v>110</v>
      </c>
      <c r="G2" s="576">
        <v>125</v>
      </c>
      <c r="H2" s="8">
        <v>175</v>
      </c>
      <c r="I2" s="675" t="s">
        <v>404</v>
      </c>
      <c r="J2" s="961"/>
      <c r="K2" s="562"/>
      <c r="L2" s="562"/>
      <c r="M2" s="718" t="s">
        <v>650</v>
      </c>
      <c r="N2" s="719"/>
      <c r="O2" s="719"/>
      <c r="P2" s="719"/>
      <c r="Q2" s="719"/>
      <c r="R2" s="719"/>
      <c r="S2" s="719"/>
      <c r="T2" s="719"/>
      <c r="U2" s="719"/>
      <c r="V2" s="719"/>
      <c r="W2" s="719"/>
      <c r="X2" s="719"/>
      <c r="Y2" s="719"/>
      <c r="Z2" s="699"/>
    </row>
    <row r="3" spans="1:26">
      <c r="A3" s="554" t="s">
        <v>430</v>
      </c>
      <c r="B3" s="962" t="s">
        <v>432</v>
      </c>
      <c r="C3" s="960" t="s">
        <v>434</v>
      </c>
      <c r="D3" s="576" t="s">
        <v>398</v>
      </c>
      <c r="E3" s="576" t="s">
        <v>403</v>
      </c>
      <c r="F3" s="576" t="s">
        <v>438</v>
      </c>
      <c r="G3" s="576">
        <v>275</v>
      </c>
      <c r="H3" s="8">
        <v>385</v>
      </c>
      <c r="I3" s="675" t="s">
        <v>417</v>
      </c>
      <c r="J3" s="8"/>
      <c r="K3" s="562"/>
      <c r="L3" s="562"/>
      <c r="M3" s="721"/>
      <c r="N3" s="698"/>
      <c r="O3" s="698"/>
      <c r="P3" s="698"/>
      <c r="Q3" s="698"/>
      <c r="R3" s="698"/>
      <c r="S3" s="698"/>
      <c r="T3" s="698"/>
      <c r="U3" s="698"/>
      <c r="V3" s="698"/>
      <c r="W3" s="698"/>
      <c r="X3" s="698"/>
      <c r="Y3" s="698"/>
      <c r="Z3" s="700"/>
    </row>
    <row r="4" spans="1:26">
      <c r="A4" s="554" t="s">
        <v>300</v>
      </c>
      <c r="B4" s="675" t="s">
        <v>435</v>
      </c>
      <c r="C4" s="675" t="s">
        <v>399</v>
      </c>
      <c r="D4" s="675" t="s">
        <v>392</v>
      </c>
      <c r="E4" s="675" t="s">
        <v>400</v>
      </c>
      <c r="F4" s="675"/>
      <c r="G4" s="675"/>
      <c r="H4" s="8"/>
      <c r="I4" s="675" t="s">
        <v>401</v>
      </c>
      <c r="J4" s="8"/>
      <c r="K4" s="562"/>
      <c r="L4" s="565"/>
      <c r="M4" s="720" t="s">
        <v>768</v>
      </c>
      <c r="N4" s="697"/>
      <c r="O4" s="697"/>
      <c r="P4" s="697"/>
      <c r="Q4" s="697"/>
      <c r="R4" s="697"/>
      <c r="S4" s="697"/>
      <c r="T4" s="697"/>
      <c r="U4" s="697"/>
      <c r="V4" s="697"/>
      <c r="W4" s="697"/>
      <c r="X4" s="697"/>
      <c r="Y4" s="698"/>
      <c r="Z4" s="700"/>
    </row>
    <row r="5" spans="1:26">
      <c r="A5" s="554" t="s">
        <v>393</v>
      </c>
      <c r="B5" s="8"/>
      <c r="C5" s="675"/>
      <c r="D5" s="675"/>
      <c r="E5" s="675"/>
      <c r="F5" s="675" t="s">
        <v>395</v>
      </c>
      <c r="G5" s="675" t="s">
        <v>394</v>
      </c>
      <c r="H5" s="675" t="s">
        <v>394</v>
      </c>
      <c r="I5" s="8"/>
      <c r="J5" s="8"/>
      <c r="K5" s="562"/>
      <c r="L5" s="565"/>
      <c r="M5" s="720"/>
      <c r="N5" s="701"/>
      <c r="O5" s="698"/>
      <c r="P5" s="698"/>
      <c r="Q5" s="698"/>
      <c r="R5" s="698"/>
      <c r="S5" s="698"/>
      <c r="T5" s="698"/>
      <c r="U5" s="698"/>
      <c r="V5" s="698"/>
      <c r="W5" s="698"/>
      <c r="X5" s="698"/>
      <c r="Y5" s="698"/>
      <c r="Z5" s="700"/>
    </row>
    <row r="6" spans="1:26">
      <c r="A6" s="554" t="s">
        <v>889</v>
      </c>
      <c r="B6" s="8"/>
      <c r="C6" s="675"/>
      <c r="D6" s="675"/>
      <c r="E6" s="675"/>
      <c r="F6" s="675" t="s">
        <v>396</v>
      </c>
      <c r="G6" s="675" t="s">
        <v>396</v>
      </c>
      <c r="H6" s="675" t="s">
        <v>396</v>
      </c>
      <c r="I6" s="8"/>
      <c r="J6" s="8"/>
      <c r="K6" s="562"/>
      <c r="L6" s="565"/>
      <c r="M6" s="780" t="s">
        <v>770</v>
      </c>
      <c r="N6" s="698"/>
      <c r="O6" s="698"/>
      <c r="P6" s="698"/>
      <c r="Q6" s="698"/>
      <c r="R6" s="698"/>
      <c r="S6" s="698"/>
      <c r="T6" s="698"/>
      <c r="U6" s="698"/>
      <c r="V6" s="698"/>
      <c r="W6" s="698"/>
      <c r="X6" s="698"/>
      <c r="Y6" s="698"/>
      <c r="Z6" s="700"/>
    </row>
    <row r="7" spans="1:26">
      <c r="A7" s="554" t="s">
        <v>304</v>
      </c>
      <c r="B7" s="8"/>
      <c r="C7" s="675"/>
      <c r="D7" s="675"/>
      <c r="E7" s="675"/>
      <c r="F7" s="675"/>
      <c r="G7" s="675"/>
      <c r="H7" s="8"/>
      <c r="I7" s="8"/>
      <c r="J7" s="8"/>
      <c r="K7" s="562"/>
      <c r="L7" s="565"/>
      <c r="M7" s="840"/>
      <c r="N7" s="725" t="s">
        <v>771</v>
      </c>
      <c r="O7" s="698"/>
      <c r="P7" s="698"/>
      <c r="Q7" s="698"/>
      <c r="R7" s="698"/>
      <c r="S7" s="698"/>
      <c r="T7" s="698"/>
      <c r="U7" s="698"/>
      <c r="V7" s="698"/>
      <c r="W7" s="698"/>
      <c r="X7" s="698"/>
      <c r="Y7" s="698"/>
      <c r="Z7" s="700"/>
    </row>
    <row r="8" spans="1:26">
      <c r="A8" s="554" t="s">
        <v>890</v>
      </c>
      <c r="B8" s="8"/>
      <c r="C8" s="675"/>
      <c r="D8" s="675"/>
      <c r="E8" s="675"/>
      <c r="F8" s="675"/>
      <c r="G8" s="576">
        <f>(HogHerd!B12/0.868)</f>
        <v>11.635944700460829</v>
      </c>
      <c r="H8" s="8"/>
      <c r="I8" s="8"/>
      <c r="J8" s="8"/>
      <c r="K8" s="562"/>
      <c r="L8" s="565"/>
      <c r="M8" s="780"/>
      <c r="N8" s="698"/>
      <c r="O8" s="698"/>
      <c r="P8" s="698"/>
      <c r="Q8" s="698"/>
      <c r="R8" s="698"/>
      <c r="S8" s="698"/>
      <c r="T8" s="698"/>
      <c r="U8" s="698"/>
      <c r="V8" s="698"/>
      <c r="W8" s="698"/>
      <c r="X8" s="698"/>
      <c r="Y8" s="698"/>
      <c r="Z8" s="700"/>
    </row>
    <row r="9" spans="1:26">
      <c r="A9" s="554" t="s">
        <v>405</v>
      </c>
      <c r="B9" s="8"/>
      <c r="C9" s="675">
        <f>SUM(C31:C46)</f>
        <v>448.31899999999996</v>
      </c>
      <c r="D9" s="675">
        <f t="shared" ref="D9:J9" si="0">SUM(D31:D46)</f>
        <v>1331.9498999999998</v>
      </c>
      <c r="E9" s="675">
        <f t="shared" si="0"/>
        <v>1683.5976000000001</v>
      </c>
      <c r="F9" s="675">
        <f t="shared" si="0"/>
        <v>2303.7521000000002</v>
      </c>
      <c r="G9" s="675">
        <f t="shared" si="0"/>
        <v>1642.2690499999999</v>
      </c>
      <c r="H9" s="675">
        <f t="shared" si="0"/>
        <v>4660.5825000000004</v>
      </c>
      <c r="I9" s="675">
        <f t="shared" si="0"/>
        <v>2483.2849999999999</v>
      </c>
      <c r="J9" s="675">
        <f t="shared" si="0"/>
        <v>1772.117</v>
      </c>
      <c r="M9" s="1288" t="s">
        <v>784</v>
      </c>
      <c r="N9" s="1317"/>
      <c r="O9" s="1317"/>
      <c r="P9" s="1317"/>
      <c r="Q9" s="1317"/>
      <c r="R9" s="1317"/>
      <c r="S9" s="1317"/>
      <c r="T9" s="1317"/>
      <c r="U9" s="1317"/>
      <c r="V9" s="1317"/>
      <c r="W9" s="1317"/>
      <c r="X9" s="1317"/>
      <c r="Y9" s="1317"/>
      <c r="Z9" s="1290"/>
    </row>
    <row r="10" spans="1:26">
      <c r="A10" s="554" t="s">
        <v>289</v>
      </c>
      <c r="B10" s="8"/>
      <c r="C10" s="963">
        <f>C$9/453.59</f>
        <v>0.9883793734429771</v>
      </c>
      <c r="D10" s="963">
        <f t="shared" ref="D10:J10" si="1">D9/453.59</f>
        <v>2.9364622235939946</v>
      </c>
      <c r="E10" s="963">
        <f t="shared" si="1"/>
        <v>3.7117167486055691</v>
      </c>
      <c r="F10" s="963">
        <f t="shared" si="1"/>
        <v>5.0789305319782185</v>
      </c>
      <c r="G10" s="963">
        <f t="shared" si="1"/>
        <v>3.6206024162790182</v>
      </c>
      <c r="H10" s="963">
        <f t="shared" si="1"/>
        <v>10.274879296280783</v>
      </c>
      <c r="I10" s="963">
        <f t="shared" si="1"/>
        <v>5.4747348927445492</v>
      </c>
      <c r="J10" s="963">
        <f t="shared" si="1"/>
        <v>3.906869639983245</v>
      </c>
      <c r="K10" s="561"/>
      <c r="L10" s="561"/>
      <c r="M10" s="1291"/>
      <c r="N10" s="1317"/>
      <c r="O10" s="1317"/>
      <c r="P10" s="1317"/>
      <c r="Q10" s="1317"/>
      <c r="R10" s="1317"/>
      <c r="S10" s="1317"/>
      <c r="T10" s="1317"/>
      <c r="U10" s="1317"/>
      <c r="V10" s="1317"/>
      <c r="W10" s="1317"/>
      <c r="X10" s="1317"/>
      <c r="Y10" s="1317"/>
      <c r="Z10" s="1290"/>
    </row>
    <row r="11" spans="1:26">
      <c r="A11" s="916" t="s">
        <v>441</v>
      </c>
      <c r="B11" s="8">
        <v>4819</v>
      </c>
      <c r="C11" s="963"/>
      <c r="D11" s="963"/>
      <c r="E11" s="963"/>
      <c r="F11" s="963"/>
      <c r="G11" s="963"/>
      <c r="H11" s="963"/>
      <c r="I11" s="963"/>
      <c r="J11" s="963"/>
      <c r="K11" s="561"/>
      <c r="L11" s="561"/>
      <c r="M11" s="904"/>
      <c r="N11" s="993"/>
      <c r="O11" s="993"/>
      <c r="P11" s="993"/>
      <c r="Q11" s="993"/>
      <c r="R11" s="993"/>
      <c r="S11" s="993"/>
      <c r="T11" s="993"/>
      <c r="U11" s="993"/>
      <c r="V11" s="993"/>
      <c r="W11" s="993"/>
      <c r="X11" s="993"/>
      <c r="Y11" s="993"/>
      <c r="Z11" s="906"/>
    </row>
    <row r="12" spans="1:26">
      <c r="A12" s="554" t="s">
        <v>794</v>
      </c>
      <c r="B12" s="8"/>
      <c r="C12" s="675">
        <v>500</v>
      </c>
      <c r="D12" s="675">
        <v>1500</v>
      </c>
      <c r="E12" s="675">
        <v>1900</v>
      </c>
      <c r="F12" s="675">
        <v>2600</v>
      </c>
      <c r="G12" s="675">
        <v>1850</v>
      </c>
      <c r="H12" s="8">
        <v>5250</v>
      </c>
      <c r="I12" s="8">
        <v>2800</v>
      </c>
      <c r="J12" s="8">
        <v>2000</v>
      </c>
      <c r="K12" s="561"/>
      <c r="L12" s="561"/>
      <c r="M12" s="721" t="s">
        <v>772</v>
      </c>
      <c r="N12" s="725"/>
      <c r="O12" s="698"/>
      <c r="P12" s="698"/>
      <c r="Q12" s="698"/>
      <c r="R12" s="698"/>
      <c r="S12" s="698"/>
      <c r="T12" s="698"/>
      <c r="U12" s="698"/>
      <c r="V12" s="698"/>
      <c r="W12" s="698"/>
      <c r="X12" s="698"/>
      <c r="Y12" s="698"/>
      <c r="Z12" s="700"/>
    </row>
    <row r="13" spans="1:26" ht="15" thickBot="1">
      <c r="A13" s="995" t="s">
        <v>442</v>
      </c>
      <c r="B13" s="996"/>
      <c r="C13" s="997">
        <f>C$12/453.59</f>
        <v>1.1023170704821534</v>
      </c>
      <c r="D13" s="997">
        <f t="shared" ref="D13:J13" si="2">D$12/453.59</f>
        <v>3.3069512114464605</v>
      </c>
      <c r="E13" s="997">
        <f t="shared" si="2"/>
        <v>4.1888048678321832</v>
      </c>
      <c r="F13" s="997">
        <f t="shared" si="2"/>
        <v>5.7320487665071989</v>
      </c>
      <c r="G13" s="997">
        <f t="shared" si="2"/>
        <v>4.0785731607839679</v>
      </c>
      <c r="H13" s="997">
        <f t="shared" si="2"/>
        <v>11.574329240062612</v>
      </c>
      <c r="I13" s="997">
        <f t="shared" si="2"/>
        <v>6.17297559470006</v>
      </c>
      <c r="J13" s="997">
        <f t="shared" si="2"/>
        <v>4.4092682819286138</v>
      </c>
      <c r="K13" s="998"/>
      <c r="L13" s="561"/>
      <c r="M13" s="702"/>
      <c r="N13" s="743"/>
      <c r="O13" s="703"/>
      <c r="P13" s="703"/>
      <c r="Q13" s="703"/>
      <c r="R13" s="703"/>
      <c r="S13" s="703"/>
      <c r="T13" s="703"/>
      <c r="U13" s="703"/>
      <c r="V13" s="703"/>
      <c r="W13" s="703"/>
      <c r="X13" s="703"/>
      <c r="Y13" s="703"/>
      <c r="Z13" s="704"/>
    </row>
    <row r="14" spans="1:26">
      <c r="A14" s="225" t="s">
        <v>413</v>
      </c>
      <c r="B14" s="996"/>
      <c r="C14" s="999">
        <v>3400</v>
      </c>
      <c r="D14" s="999">
        <v>3400</v>
      </c>
      <c r="E14" s="999">
        <v>3400</v>
      </c>
      <c r="F14" s="999">
        <v>3400</v>
      </c>
      <c r="G14" s="999">
        <v>3400</v>
      </c>
      <c r="H14" s="999">
        <v>3400</v>
      </c>
      <c r="I14" s="996">
        <v>3400</v>
      </c>
      <c r="J14" s="999">
        <v>3400</v>
      </c>
      <c r="K14" s="1000"/>
    </row>
    <row r="15" spans="1:26">
      <c r="A15" s="225" t="s">
        <v>427</v>
      </c>
      <c r="B15" s="996"/>
      <c r="C15" s="999"/>
      <c r="D15" s="999"/>
      <c r="E15" s="999"/>
      <c r="F15" s="999"/>
      <c r="G15" s="999"/>
      <c r="H15" s="996"/>
      <c r="I15" s="996"/>
      <c r="J15" s="996"/>
      <c r="K15" s="1000"/>
      <c r="L15" s="208"/>
      <c r="M15" s="1445"/>
      <c r="N15" s="1445"/>
      <c r="O15" s="1445"/>
      <c r="P15" s="1445"/>
      <c r="Q15" s="1445"/>
      <c r="R15" s="1445"/>
      <c r="S15" s="1445"/>
      <c r="T15" s="1445"/>
      <c r="U15" s="1445"/>
      <c r="V15" s="1445"/>
      <c r="W15" s="1445"/>
      <c r="X15" s="1445"/>
      <c r="Y15" s="1445"/>
      <c r="Z15" s="208"/>
    </row>
    <row r="16" spans="1:26">
      <c r="A16" s="225" t="s">
        <v>426</v>
      </c>
      <c r="B16" s="996"/>
      <c r="C16" s="999">
        <v>1.35</v>
      </c>
      <c r="D16" s="1001">
        <v>1.0500000000000001E-2</v>
      </c>
      <c r="E16" s="1001">
        <v>9.4999999999999998E-3</v>
      </c>
      <c r="F16" s="1001">
        <v>6.4000000000000003E-3</v>
      </c>
      <c r="G16" s="1001">
        <v>5.7999999999999996E-3</v>
      </c>
      <c r="H16" s="1001">
        <v>8.6999999999999994E-3</v>
      </c>
      <c r="I16" s="1002">
        <v>7.0000000000000001E-3</v>
      </c>
      <c r="J16" s="1001">
        <v>6.0000000000000001E-3</v>
      </c>
      <c r="K16" s="1000"/>
      <c r="L16" s="208"/>
      <c r="M16" s="1445"/>
      <c r="N16" s="1445"/>
      <c r="O16" s="1445"/>
      <c r="P16" s="1445"/>
      <c r="Q16" s="1445"/>
      <c r="R16" s="1445"/>
      <c r="S16" s="1445"/>
      <c r="T16" s="1445"/>
      <c r="U16" s="1445"/>
      <c r="V16" s="1445"/>
      <c r="W16" s="1445"/>
      <c r="X16" s="1445"/>
      <c r="Y16" s="1445"/>
      <c r="Z16" s="208"/>
    </row>
    <row r="17" spans="1:26">
      <c r="A17" s="1003" t="s">
        <v>425</v>
      </c>
      <c r="B17" s="1003"/>
      <c r="C17" s="1004">
        <f>((C$31*Feed_CompositionSwine!$G$2*Feed_CompositionSwine!$H2)+(C$32*Feed_CompositionSwine!$G$3*Feed_CompositionSwine!$H3)+(C$33*Feed_CompositionSwine!$G$4*Feed_CompositionSwine!$H4)+(C$34*Feed_CompositionSwine!$G$5*Feed_CompositionSwine!$H5)+(C$35*Feed_CompositionSwine!$G$6*Feed_CompositionSwine!$H6)+(C$36*Feed_CompositionSwine!$G$7*Feed_CompositionSwine!$H7)+(C$37*Feed_CompositionSwine!$G$8*Feed_CompositionSwine!$H8)+(C$38*Feed_CompositionSwine!$G$9*Feed_CompositionSwine!$H9)+(C$39*Feed_CompositionSwine!$G$10*Feed_CompositionSwine!$H10)+(C$40*Feed_CompositionSwine!$G$11*Feed_CompositionSwine!$H11)+(C$41*Feed_CompositionSwine!$G$12*Feed_CompositionSwine!$H12)+(C$42*Feed_CompositionSwine!$G$13*Feed_CompositionSwine!$H13)+(C$43*Feed_CompositionSwine!$G$14*Feed_CompositionSwine!$H14)+(C$44*Feed_CompositionSwine!$G$15*Feed_CompositionSwine!$H15))/C$9</f>
        <v>1.1360210873507479E-2</v>
      </c>
      <c r="D17" s="1004">
        <f>((D$31*Feed_CompositionSwine!$G$2*Feed_CompositionSwine!$H2)+(D$32*Feed_CompositionSwine!$G$3*Feed_CompositionSwine!$H3)+(D$33*Feed_CompositionSwine!$G$4*Feed_CompositionSwine!$H4)+(D$34*Feed_CompositionSwine!$G$5*Feed_CompositionSwine!$H5)+(D$35*Feed_CompositionSwine!$G$6*Feed_CompositionSwine!$H6)+(D$36*Feed_CompositionSwine!$G$7*Feed_CompositionSwine!$H7)+(D$37*Feed_CompositionSwine!$G$8*Feed_CompositionSwine!$H8)+(D$38*Feed_CompositionSwine!$G$9*Feed_CompositionSwine!$H9)+(D$39*Feed_CompositionSwine!$G$10*Feed_CompositionSwine!$H10)+(D$40*Feed_CompositionSwine!$G$11*Feed_CompositionSwine!$H11)+(D$41*Feed_CompositionSwine!$G$12*Feed_CompositionSwine!$H12)+(D$42*Feed_CompositionSwine!$G$13*Feed_CompositionSwine!$H13)+(D$43*Feed_CompositionSwine!$G$14*Feed_CompositionSwine!$H14)+(D$44*Feed_CompositionSwine!$G$15*Feed_CompositionSwine!$H15))/D$9</f>
        <v>1.2949416939781291E-2</v>
      </c>
      <c r="E17" s="1004">
        <f>((E$31*Feed_CompositionSwine!$G$2*Feed_CompositionSwine!$H2)+(E$32*Feed_CompositionSwine!$G$3*Feed_CompositionSwine!$H3)+(E$33*Feed_CompositionSwine!$G$4*Feed_CompositionSwine!$H4)+(E$34*Feed_CompositionSwine!$G$5*Feed_CompositionSwine!$H5)+(E$35*Feed_CompositionSwine!$G$6*Feed_CompositionSwine!$H6)+(E$36*Feed_CompositionSwine!$G$7*Feed_CompositionSwine!$H7)+(E$37*Feed_CompositionSwine!$G$8*Feed_CompositionSwine!$H8)+(E$38*Feed_CompositionSwine!$G$9*Feed_CompositionSwine!$H9)+(E$39*Feed_CompositionSwine!$G$10*Feed_CompositionSwine!$H10)+(E$40*Feed_CompositionSwine!$G$11*Feed_CompositionSwine!$H11)+(E$41*Feed_CompositionSwine!$G$12*Feed_CompositionSwine!$H12)+(E$42*Feed_CompositionSwine!$G$13*Feed_CompositionSwine!$H13)+(E$43*Feed_CompositionSwine!$G$14*Feed_CompositionSwine!$H14)+(E$44*Feed_CompositionSwine!$G$15*Feed_CompositionSwine!$H15))/E$9</f>
        <v>6.9502335138990441E-3</v>
      </c>
      <c r="F17" s="1004">
        <f>((F$31*Feed_CompositionSwine!$G$2*Feed_CompositionSwine!$H2)+(F$32*Feed_CompositionSwine!$G$3*Feed_CompositionSwine!$H3)+(F$33*Feed_CompositionSwine!$G$4*Feed_CompositionSwine!$H4)+(F$34*Feed_CompositionSwine!$G$5*Feed_CompositionSwine!$H5)+(F$35*Feed_CompositionSwine!$G$6*Feed_CompositionSwine!$H6)+(F$36*Feed_CompositionSwine!$G$7*Feed_CompositionSwine!$H7)+(F$37*Feed_CompositionSwine!$G$8*Feed_CompositionSwine!$H8)+(F$38*Feed_CompositionSwine!$G$9*Feed_CompositionSwine!$H9)+(F$39*Feed_CompositionSwine!$G$10*Feed_CompositionSwine!$H10)+(F$40*Feed_CompositionSwine!$G$11*Feed_CompositionSwine!$H11)+(F$41*Feed_CompositionSwine!$G$12*Feed_CompositionSwine!$H12)+(F$42*Feed_CompositionSwine!$G$13*Feed_CompositionSwine!$H13)+(F$43*Feed_CompositionSwine!$G$14*Feed_CompositionSwine!$H14)+(F$44*Feed_CompositionSwine!$G$15*Feed_CompositionSwine!$H15))/F$9</f>
        <v>5.3558550337251994E-3</v>
      </c>
      <c r="G17" s="1004">
        <f>((G$31*Feed_CompositionSwine!$G$2*Feed_CompositionSwine!$H2)+(G$32*Feed_CompositionSwine!$G$3*Feed_CompositionSwine!$H3)+(G$33*Feed_CompositionSwine!$G$4*Feed_CompositionSwine!$H4)+(G$34*Feed_CompositionSwine!$G$5*Feed_CompositionSwine!$H5)+(G$35*Feed_CompositionSwine!$G$6*Feed_CompositionSwine!$H6)+(G$36*Feed_CompositionSwine!$G$7*Feed_CompositionSwine!$H7)+(G$37*Feed_CompositionSwine!$G$8*Feed_CompositionSwine!$H8)+(G$38*Feed_CompositionSwine!$G$9*Feed_CompositionSwine!$H9)+(G$39*Feed_CompositionSwine!$G$10*Feed_CompositionSwine!$H10)+(G$40*Feed_CompositionSwine!$G$11*Feed_CompositionSwine!$H11)+(G$41*Feed_CompositionSwine!$G$12*Feed_CompositionSwine!$H12)+(G$42*Feed_CompositionSwine!$G$13*Feed_CompositionSwine!$H13)+(G$43*Feed_CompositionSwine!$G$14*Feed_CompositionSwine!$H14)+(G$44*Feed_CompositionSwine!$G$15*Feed_CompositionSwine!$H15))/G$9</f>
        <v>5.3317661983095874E-3</v>
      </c>
      <c r="H17" s="1004">
        <f>((H$31*Feed_CompositionSwine!$G$2*Feed_CompositionSwine!$H2)+(H$32*Feed_CompositionSwine!$G$3*Feed_CompositionSwine!$H3)+(H$33*Feed_CompositionSwine!$G$4*Feed_CompositionSwine!$H4)+(H$34*Feed_CompositionSwine!$G$5*Feed_CompositionSwine!$H5)+(H$35*Feed_CompositionSwine!$G$6*Feed_CompositionSwine!$H6)+(H$36*Feed_CompositionSwine!$G$7*Feed_CompositionSwine!$H7)+(H$37*Feed_CompositionSwine!$G$8*Feed_CompositionSwine!$H8)+(H$38*Feed_CompositionSwine!$G$9*Feed_CompositionSwine!$H9)+(H$39*Feed_CompositionSwine!$G$10*Feed_CompositionSwine!$H10)+(H$40*Feed_CompositionSwine!$G$11*Feed_CompositionSwine!$H11)+(H$41*Feed_CompositionSwine!$G$12*Feed_CompositionSwine!$H12)+(H$42*Feed_CompositionSwine!$G$13*Feed_CompositionSwine!$H13)+(H$43*Feed_CompositionSwine!$G$14*Feed_CompositionSwine!$H14)+(H$44*Feed_CompositionSwine!$G$15*Feed_CompositionSwine!$H15))/H$9</f>
        <v>6.4051582305430692E-3</v>
      </c>
      <c r="I17" s="1004">
        <f>((I$31*Feed_CompositionSwine!$G$2*Feed_CompositionSwine!$H2)+(I$32*Feed_CompositionSwine!$G$3*Feed_CompositionSwine!$H3)+(I$33*Feed_CompositionSwine!$G$4*Feed_CompositionSwine!$H4)+(I$34*Feed_CompositionSwine!$G$5*Feed_CompositionSwine!$H5)+(I$35*Feed_CompositionSwine!$G$6*Feed_CompositionSwine!$H6)+(I$36*Feed_CompositionSwine!$G$7*Feed_CompositionSwine!$H7)+(I$37*Feed_CompositionSwine!$G$8*Feed_CompositionSwine!$H8)+(I$38*Feed_CompositionSwine!$G$9*Feed_CompositionSwine!$H9)+(I$39*Feed_CompositionSwine!$G$10*Feed_CompositionSwine!$H10)+(I$40*Feed_CompositionSwine!$G$11*Feed_CompositionSwine!$H11)+(I$41*Feed_CompositionSwine!$G$12*Feed_CompositionSwine!$H12)+(I$42*Feed_CompositionSwine!$G$13*Feed_CompositionSwine!$H13)+(I$43*Feed_CompositionSwine!$G$14*Feed_CompositionSwine!$H14)+(I$44*Feed_CompositionSwine!$G$15*Feed_CompositionSwine!$H15))/I$9</f>
        <v>6.5331868980000266E-3</v>
      </c>
      <c r="J17" s="1004">
        <f>((J$31*Feed_CompositionSwine!$G$2*Feed_CompositionSwine!$H2)+(J$32*Feed_CompositionSwine!$G$3*Feed_CompositionSwine!$H3)+(J$33*Feed_CompositionSwine!$G$4*Feed_CompositionSwine!$H4)+(J$34*Feed_CompositionSwine!$G$5*Feed_CompositionSwine!$H5)+(J$35*Feed_CompositionSwine!$G$6*Feed_CompositionSwine!$H6)+(J$36*Feed_CompositionSwine!$G$7*Feed_CompositionSwine!$H7)+(J$37*Feed_CompositionSwine!$G$8*Feed_CompositionSwine!$H8)+(J$38*Feed_CompositionSwine!$G$9*Feed_CompositionSwine!$H9)+(J$39*Feed_CompositionSwine!$G$10*Feed_CompositionSwine!$H10)+(J$40*Feed_CompositionSwine!$G$11*Feed_CompositionSwine!$H11)+(J$41*Feed_CompositionSwine!$G$12*Feed_CompositionSwine!$H12)+(J$42*Feed_CompositionSwine!$G$13*Feed_CompositionSwine!$H13)+(J$43*Feed_CompositionSwine!$G$14*Feed_CompositionSwine!$H14)+(J$44*Feed_CompositionSwine!$G$15*Feed_CompositionSwine!$H15))/J$9</f>
        <v>5.3558550337251994E-3</v>
      </c>
      <c r="K17" s="1000"/>
      <c r="L17" s="208"/>
      <c r="M17" s="1445"/>
      <c r="N17" s="1445"/>
      <c r="O17" s="1445"/>
      <c r="P17" s="1445"/>
      <c r="Q17" s="1445"/>
      <c r="R17" s="1445"/>
      <c r="S17" s="1445"/>
      <c r="T17" s="1445"/>
      <c r="U17" s="1445"/>
      <c r="V17" s="1445"/>
      <c r="W17" s="1445"/>
      <c r="X17" s="1445"/>
      <c r="Y17" s="1445"/>
      <c r="Z17" s="208"/>
    </row>
    <row r="18" spans="1:26">
      <c r="A18" s="225" t="s">
        <v>280</v>
      </c>
      <c r="B18" s="996"/>
      <c r="C18" s="999"/>
      <c r="D18" s="999"/>
      <c r="E18" s="999"/>
      <c r="F18" s="999"/>
      <c r="G18" s="999"/>
      <c r="H18" s="996"/>
      <c r="I18" s="996"/>
      <c r="J18" s="996"/>
      <c r="K18" s="1000"/>
    </row>
    <row r="19" spans="1:26">
      <c r="A19" s="225"/>
      <c r="B19" s="996"/>
      <c r="C19" s="999"/>
      <c r="D19" s="999"/>
      <c r="E19" s="999"/>
      <c r="F19" s="999"/>
      <c r="G19" s="999"/>
      <c r="H19" s="996"/>
      <c r="I19" s="996"/>
      <c r="J19" s="996"/>
      <c r="K19" s="1000"/>
    </row>
    <row r="20" spans="1:26">
      <c r="A20" s="1039" t="s">
        <v>406</v>
      </c>
      <c r="B20" s="1040"/>
      <c r="C20" s="1041">
        <v>6.4999999999999997E-3</v>
      </c>
      <c r="D20" s="1041">
        <v>5.4999999999999997E-3</v>
      </c>
      <c r="E20" s="1041">
        <v>5.0000000000000001E-3</v>
      </c>
      <c r="F20" s="1041">
        <v>4.0000000000000001E-3</v>
      </c>
      <c r="G20" s="1041">
        <v>6.0000000000000001E-3</v>
      </c>
      <c r="H20" s="1041">
        <v>6.0000000000000001E-3</v>
      </c>
      <c r="I20" s="1040">
        <v>0.43</v>
      </c>
      <c r="J20" s="1041">
        <v>6.0000000000000001E-3</v>
      </c>
      <c r="K20" s="1000"/>
    </row>
    <row r="21" spans="1:26">
      <c r="A21" s="1039" t="s">
        <v>409</v>
      </c>
      <c r="B21" s="1040"/>
      <c r="C21" s="1041">
        <v>4.0000000000000001E-3</v>
      </c>
      <c r="D21" s="1041">
        <v>2.8E-3</v>
      </c>
      <c r="E21" s="1041">
        <v>2.3E-3</v>
      </c>
      <c r="F21" s="1041">
        <v>1.5E-3</v>
      </c>
      <c r="G21" s="1041">
        <v>3.5000000000000001E-3</v>
      </c>
      <c r="H21" s="1041">
        <v>3.5000000000000001E-3</v>
      </c>
      <c r="I21" s="1040">
        <v>0.17</v>
      </c>
      <c r="J21" s="1041">
        <v>3.5000000000000001E-3</v>
      </c>
      <c r="K21" s="1000"/>
    </row>
    <row r="22" spans="1:26">
      <c r="A22" s="1003" t="s">
        <v>281</v>
      </c>
      <c r="B22" s="1003"/>
      <c r="C22" s="1004">
        <f>((C$31*Feed_CompositionSwine!$E$2)+(C$32*Feed_CompositionSwine!$E$3)+(C$33*Feed_CompositionSwine!$E$4)+(C$34*Feed_CompositionSwine!$E$5)+(C$35*Feed_CompositionSwine!$E$6)+(C$36*Feed_CompositionSwine!$E$7)+(C$37*Feed_CompositionSwine!$E$8)+(C$38*Feed_CompositionSwine!$E$9)+(C$39*Feed_CompositionSwine!$E$10)+(C$40*Feed_CompositionSwine!$E$11)+(C$41*Feed_CompositionSwine!$E$12)+(C$42*Feed_CompositionSwine!$E$13)+(C$43*Feed_CompositionSwine!$E$14)+(C$44*Feed_CompositionSwine!$E$15))/C$9</f>
        <v>6.6885008219593652E-3</v>
      </c>
      <c r="D22" s="1004">
        <f>((D31*Feed_CompositionSwine!$E$2)+(D32*Feed_CompositionSwine!$E$3)+(D33*Feed_CompositionSwine!$E$4)+(D$34*Feed_CompositionSwine!$E$5)+(D$35*Feed_CompositionSwine!$E$6)+(D$36*Feed_CompositionSwine!$E$7)+(D37*Feed_CompositionSwine!$E$8)+(D38*Feed_CompositionSwine!$E$9)+(D39*Feed_CompositionSwine!$E$10)+(D40*Feed_CompositionSwine!$E$11)+(D41*Feed_CompositionSwine!$E$12)+(D42*Feed_CompositionSwine!$E$13)+(D43*Feed_CompositionSwine!$E$14)+(D44*Feed_CompositionSwine!$E$15))/D$9</f>
        <v>5.7668723125396835E-3</v>
      </c>
      <c r="E22" s="1004">
        <f>((E31*Feed_CompositionSwine!$E$2)+(E32*Feed_CompositionSwine!$E$3)+(E33*Feed_CompositionSwine!$E$4)+(E$34*Feed_CompositionSwine!$E$5)+(E$35*Feed_CompositionSwine!$E$6)+(E$36*Feed_CompositionSwine!$E$7)+(E37*Feed_CompositionSwine!$E$8)+(E38*Feed_CompositionSwine!$E$9)+(E39*Feed_CompositionSwine!$E$10)+(E40*Feed_CompositionSwine!$E$11)+(E41*Feed_CompositionSwine!$E$12)+(E42*Feed_CompositionSwine!$E$13)+(E43*Feed_CompositionSwine!$E$14)+(E44*Feed_CompositionSwine!$E$15))/E$9</f>
        <v>4.9851845832994766E-3</v>
      </c>
      <c r="F22" s="1004">
        <f>((F31*Feed_CompositionSwine!$E$2)+(F32*Feed_CompositionSwine!$E$3)+(F33*Feed_CompositionSwine!$E$4)+(F$34*Feed_CompositionSwine!$E$5)+(F$35*Feed_CompositionSwine!$E$6)+(F$36*Feed_CompositionSwine!$E$7)+(F37*Feed_CompositionSwine!$E$8)+(F38*Feed_CompositionSwine!$E$9)+(F39*Feed_CompositionSwine!$E$10)+(F40*Feed_CompositionSwine!$E$11)+(F41*Feed_CompositionSwine!$E$12)+(F42*Feed_CompositionSwine!$E$13)+(F43*Feed_CompositionSwine!$E$14)+(F44*Feed_CompositionSwine!$E$15))/F$9</f>
        <v>5.8541907785998326E-3</v>
      </c>
      <c r="G22" s="1004">
        <f>((G31*Feed_CompositionSwine!$E$2)+(G32*Feed_CompositionSwine!$E$3)+(G33*Feed_CompositionSwine!$E$4)+(G$34*Feed_CompositionSwine!$E$5)+(G$35*Feed_CompositionSwine!$E$6)+(G$36*Feed_CompositionSwine!$E$7)+(G37*Feed_CompositionSwine!$E$8)+(G38*Feed_CompositionSwine!$E$9)+(G39*Feed_CompositionSwine!$E$10)+(G40*Feed_CompositionSwine!$E$11)+(G41*Feed_CompositionSwine!$E$12)+(G42*Feed_CompositionSwine!$E$13)+(G43*Feed_CompositionSwine!$E$14)+(G44*Feed_CompositionSwine!$E$15))/G$9</f>
        <v>6.9141929880490657E-3</v>
      </c>
      <c r="H22" s="1004">
        <f>((H31*Feed_CompositionSwine!$E$2)+(H32*Feed_CompositionSwine!$E$3)+(H33*Feed_CompositionSwine!$E$4)+(H$34*Feed_CompositionSwine!$E$5)+(H$35*Feed_CompositionSwine!$E$6)+(H$36*Feed_CompositionSwine!$E$7)+(H37*Feed_CompositionSwine!$E$8)+(H38*Feed_CompositionSwine!$E$9)+(H39*Feed_CompositionSwine!$E$10)+(H40*Feed_CompositionSwine!$E$11)+(H41*Feed_CompositionSwine!$E$12)+(H42*Feed_CompositionSwine!$E$13)+(H43*Feed_CompositionSwine!$E$14)+(H44*Feed_CompositionSwine!$E$15))/H$9</f>
        <v>6.0388969619140946E-3</v>
      </c>
      <c r="I22" s="1004">
        <f>((I31*Feed_CompositionSwine!$E$2)+(I32*Feed_CompositionSwine!$E$3)+(I33*Feed_CompositionSwine!$E$4)+(I$34*Feed_CompositionSwine!$E$5)+(I$35*Feed_CompositionSwine!$E$6)+(I$36*Feed_CompositionSwine!$E$7)+(I37*Feed_CompositionSwine!$E$8)+(I38*Feed_CompositionSwine!$E$9)+(I39*Feed_CompositionSwine!$E$10)+(I40*Feed_CompositionSwine!$E$11)+(I41*Feed_CompositionSwine!$E$12)+(I42*Feed_CompositionSwine!$E$13)+(I43*Feed_CompositionSwine!$E$14)+(I44*Feed_CompositionSwine!$E$15))/I$9</f>
        <v>4.4453693394032505E-3</v>
      </c>
      <c r="J22" s="1004">
        <f>((J31*Feed_CompositionSwine!$E$2)+(J32*Feed_CompositionSwine!$E$3)+(J33*Feed_CompositionSwine!$E$4)+(J$34*Feed_CompositionSwine!$E$5)+(J$35*Feed_CompositionSwine!$E$6)+(J$36*Feed_CompositionSwine!$E$7)+(J37*Feed_CompositionSwine!$E$8)+(J38*Feed_CompositionSwine!$E$9)+(J39*Feed_CompositionSwine!$E$10)+(J40*Feed_CompositionSwine!$E$11)+(J41*Feed_CompositionSwine!$E$12)+(J42*Feed_CompositionSwine!$E$13)+(J43*Feed_CompositionSwine!$E$14)+(J44*Feed_CompositionSwine!$E$15))/J$9</f>
        <v>5.8541907785998326E-3</v>
      </c>
      <c r="K22" s="1000"/>
    </row>
    <row r="23" spans="1:26">
      <c r="A23" s="994" t="s">
        <v>885</v>
      </c>
      <c r="B23" s="1003"/>
      <c r="C23" s="1004">
        <f>((C$31*Feed_CompositionSwine!$E$2)+(C$32*Feed_CompositionSwine!$E$3)+(C$33*Feed_CompositionSwine!$E$4)+(C$34*Feed_CompositionSwine!$E$5)+(C$35*Feed_CompositionSwine!$E$6)+(C$36*Feed_CompositionSwine!$E$7)+(C$37*Feed_CompositionSwine!$E$8)+(C$38*Feed_CompositionSwine!$E$9)+(C$39*Feed_CompositionSwine!$E$10)+(C$40*Feed_CompositionSwine!$E$11)+(C$41*Feed_CompositionSwine!$E$12)+(C$42*Feed_CompositionSwine!$E$13)+(C$43*Feed_CompositionSwine!$E$14)+(C$44*Feed_CompositionSwine!$E$15))/C$12</f>
        <v>5.997164000000001E-3</v>
      </c>
      <c r="D23" s="1004">
        <f>((D$31*Feed_CompositionSwine!$E$2)+(D$32*Feed_CompositionSwine!$E$3)+(D$33*Feed_CompositionSwine!$E$4)+(D$34*Feed_CompositionSwine!$E$5)+(D$35*Feed_CompositionSwine!$E$6)+(D$36*Feed_CompositionSwine!$E$7)+(D$37*Feed_CompositionSwine!$E$8)+(D$38*Feed_CompositionSwine!$E$9)+(D$39*Feed_CompositionSwine!$E$10)+(D$40*Feed_CompositionSwine!$E$11)+(D$41*Feed_CompositionSwine!$E$12)+(D$42*Feed_CompositionSwine!$E$13)+(D$43*Feed_CompositionSwine!$E$14)+(D$44*Feed_CompositionSwine!$E$15))/D$12</f>
        <v>5.1207899999999992E-3</v>
      </c>
      <c r="E23" s="1004">
        <f>((E$31*Feed_CompositionSwine!$E$2)+(E$32*Feed_CompositionSwine!$E$3)+(E$33*Feed_CompositionSwine!$E$4)+(E$34*Feed_CompositionSwine!$E$5)+(E$35*Feed_CompositionSwine!$E$6)+(E$36*Feed_CompositionSwine!$E$7)+(E$37*Feed_CompositionSwine!$E$8)+(E$38*Feed_CompositionSwine!$E$9)+(E$39*Feed_CompositionSwine!$E$10)+(E$40*Feed_CompositionSwine!$E$11)+(E$41*Feed_CompositionSwine!$E$12)+(E$42*Feed_CompositionSwine!$E$13)+(E$43*Feed_CompositionSwine!$E$14)+(E$44*Feed_CompositionSwine!$E$15))/E$12</f>
        <v>4.4173919999999992E-3</v>
      </c>
      <c r="F23" s="1004">
        <f>((F$31*Feed_CompositionSwine!$E$2)+(F$32*Feed_CompositionSwine!$E$3)+(F$33*Feed_CompositionSwine!$E$4)+(F$34*Feed_CompositionSwine!$E$5)+(F$35*Feed_CompositionSwine!$E$6)+(F$36*Feed_CompositionSwine!$E$7)+(F$37*Feed_CompositionSwine!$E$8)+(F$38*Feed_CompositionSwine!$E$9)+(F$39*Feed_CompositionSwine!$E$10)+(F$40*Feed_CompositionSwine!$E$11)+(F$41*Feed_CompositionSwine!$E$12)+(F$42*Feed_CompositionSwine!$E$13)+(F$43*Feed_CompositionSwine!$E$14)+(F$44*Feed_CompositionSwine!$E$15))/F$12</f>
        <v>5.1871555000000003E-3</v>
      </c>
      <c r="G23" s="1004">
        <f>((G$31*Feed_CompositionSwine!$E$2)+(G$32*Feed_CompositionSwine!$E$3)+(G$33*Feed_CompositionSwine!$E$4)+(G$34*Feed_CompositionSwine!$E$5)+(G$35*Feed_CompositionSwine!$E$6)+(G$36*Feed_CompositionSwine!$E$7)+(G$37*Feed_CompositionSwine!$E$8)+(G$38*Feed_CompositionSwine!$E$9)+(G$39*Feed_CompositionSwine!$E$10)+(G$40*Feed_CompositionSwine!$E$11)+(G$41*Feed_CompositionSwine!$E$12)+(G$42*Feed_CompositionSwine!$E$13)+(G$43*Feed_CompositionSwine!$E$14)+(G$44*Feed_CompositionSwine!$E$15))/G$12</f>
        <v>6.1378190000000001E-3</v>
      </c>
      <c r="H23" s="1004">
        <f>((H$31*Feed_CompositionSwine!$E$2)+(H$32*Feed_CompositionSwine!$E$3)+(H$33*Feed_CompositionSwine!$E$4)+(H$34*Feed_CompositionSwine!$E$5)+(H$35*Feed_CompositionSwine!$E$6)+(H$36*Feed_CompositionSwine!$E$7)+(H$37*Feed_CompositionSwine!$E$8)+(H$38*Feed_CompositionSwine!$E$9)+(H$39*Feed_CompositionSwine!$E$10)+(H$40*Feed_CompositionSwine!$E$11)+(H$41*Feed_CompositionSwine!$E$12)+(H$42*Feed_CompositionSwine!$E$13)+(H$43*Feed_CompositionSwine!$E$14)+(H$44*Feed_CompositionSwine!$E$15))/H$12</f>
        <v>5.36091E-3</v>
      </c>
      <c r="I23" s="1004">
        <f>((I$31*Feed_CompositionSwine!$E$2)+(I$32*Feed_CompositionSwine!$E$3)+(I$33*Feed_CompositionSwine!$E$4)+(I$34*Feed_CompositionSwine!$E$5)+(I$35*Feed_CompositionSwine!$E$6)+(I$36*Feed_CompositionSwine!$E$7)+(I$37*Feed_CompositionSwine!$E$8)+(I$38*Feed_CompositionSwine!$E$9)+(I$39*Feed_CompositionSwine!$E$10)+(I$40*Feed_CompositionSwine!$E$11)+(I$41*Feed_CompositionSwine!$E$12)+(I$42*Feed_CompositionSwine!$E$13)+(I$43*Feed_CompositionSwine!$E$14)+(I$44*Feed_CompositionSwine!$E$15))/I$12</f>
        <v>3.9425425E-3</v>
      </c>
      <c r="J23" s="1004">
        <f>((J$31*Feed_CompositionSwine!$E$2)+(J$32*Feed_CompositionSwine!$E$3)+(J$33*Feed_CompositionSwine!$E$4)+(J$34*Feed_CompositionSwine!$E$5)+(J$35*Feed_CompositionSwine!$E$6)+(J$36*Feed_CompositionSwine!$E$7)+(J$37*Feed_CompositionSwine!$E$8)+(J$38*Feed_CompositionSwine!$E$9)+(J$39*Feed_CompositionSwine!$E$10)+(J$40*Feed_CompositionSwine!$E$11)+(J$41*Feed_CompositionSwine!$E$12)+(J$42*Feed_CompositionSwine!$E$13)+(J$43*Feed_CompositionSwine!$E$14)+(J$44*Feed_CompositionSwine!$E$15))/J$12</f>
        <v>5.1871554999999995E-3</v>
      </c>
      <c r="K23" s="1000"/>
    </row>
    <row r="24" spans="1:26">
      <c r="A24" s="1039" t="s">
        <v>410</v>
      </c>
      <c r="B24" s="1040"/>
      <c r="C24" s="1041">
        <v>2.8E-3</v>
      </c>
      <c r="D24" s="1041">
        <v>2.5000000000000001E-3</v>
      </c>
      <c r="E24" s="1041">
        <v>2.3E-3</v>
      </c>
      <c r="F24" s="1041">
        <v>1.6999999999999999E-3</v>
      </c>
      <c r="G24" s="1041">
        <v>2E-3</v>
      </c>
      <c r="H24" s="1041">
        <v>2E-3</v>
      </c>
      <c r="I24" s="1040">
        <v>0.18</v>
      </c>
      <c r="J24" s="1041">
        <v>2E-3</v>
      </c>
      <c r="K24" s="1000"/>
    </row>
    <row r="25" spans="1:26">
      <c r="A25" s="1003" t="s">
        <v>325</v>
      </c>
      <c r="B25" s="1003"/>
      <c r="C25" s="1004">
        <f>((C$31*Feed_CompositionSwine!$F$2)+(C$32*Feed_CompositionSwine!$F$3)+(C$33*Feed_CompositionSwine!$F$4)+(C$34*Feed_CompositionSwine!$F$5)+(C$35*Feed_CompositionSwine!$F$6)+(C$36*Feed_CompositionSwine!$F$7)+(C$37*Feed_CompositionSwine!$F$8)+(C$38*Feed_CompositionSwine!$F$9)+(C$39*Feed_CompositionSwine!$F$10)+(C$40*Feed_CompositionSwine!$F$11)+(C$41*Feed_CompositionSwine!$F$12)+(C$42*Feed_CompositionSwine!$F$13)+(C$43*Feed_CompositionSwine!$F$14)+(C$44*Feed_CompositionSwine!$F$15))/C$9</f>
        <v>1.0791405896247984E-2</v>
      </c>
      <c r="D25" s="1004">
        <f>((D$31*Feed_CompositionSwine!$F$2)+(D$32*Feed_CompositionSwine!$F$3)+(D$33*Feed_CompositionSwine!$F$4)+(D$34*Feed_CompositionSwine!$F$5)+(D$35*Feed_CompositionSwine!$F$6)+(D$36*Feed_CompositionSwine!$F$7)+(D$37*Feed_CompositionSwine!$F$8)+(D$38*Feed_CompositionSwine!$F$9)+(D$39*Feed_CompositionSwine!$F$10)+(D$40*Feed_CompositionSwine!$F$11)+(D$41*Feed_CompositionSwine!$F$12)+(D$42*Feed_CompositionSwine!$F$13)+(D$43*Feed_CompositionSwine!$F$14)+(D$44*Feed_CompositionSwine!$F$15))/D$9</f>
        <v>1.1113352686914126E-2</v>
      </c>
      <c r="E25" s="1004">
        <f>((E$31*Feed_CompositionSwine!$F$2)+(E$32*Feed_CompositionSwine!$F$3)+(E$33*Feed_CompositionSwine!$F$4)+(E$34*Feed_CompositionSwine!$F$5)+(E$35*Feed_CompositionSwine!$F$6)+(E$36*Feed_CompositionSwine!$F$7)+(E$37*Feed_CompositionSwine!$F$8)+(E$38*Feed_CompositionSwine!$F$9)+(E$39*Feed_CompositionSwine!$F$10)+(E$40*Feed_CompositionSwine!$F$11)+(E$41*Feed_CompositionSwine!$F$12)+(E$42*Feed_CompositionSwine!$F$13)+(E$43*Feed_CompositionSwine!$F$14)+(E$44*Feed_CompositionSwine!$F$15))/E$9</f>
        <v>8.2415459133465142E-3</v>
      </c>
      <c r="F25" s="1004">
        <f>((F$31*Feed_CompositionSwine!$F$2)+(F$32*Feed_CompositionSwine!$F$3)+(F$33*Feed_CompositionSwine!$F$4)+(F$34*Feed_CompositionSwine!$F$5)+(F$35*Feed_CompositionSwine!$F$6)+(F$36*Feed_CompositionSwine!$F$7)+(F$37*Feed_CompositionSwine!$F$8)+(F$38*Feed_CompositionSwine!$F$9)+(F$39*Feed_CompositionSwine!$F$10)+(F$40*Feed_CompositionSwine!$F$11)+(F$41*Feed_CompositionSwine!$F$12)+(F$42*Feed_CompositionSwine!$F$13)+(F$43*Feed_CompositionSwine!$F$14)+(F$44*Feed_CompositionSwine!$F$15))/F$9</f>
        <v>7.2173007764160029E-3</v>
      </c>
      <c r="G25" s="1004">
        <f>((G$31*Feed_CompositionSwine!$F$2)+(G$32*Feed_CompositionSwine!$F$3)+(G$33*Feed_CompositionSwine!$F$4)+(G$34*Feed_CompositionSwine!$F$5)+(G$35*Feed_CompositionSwine!$F$6)+(G$36*Feed_CompositionSwine!$F$7)+(G$37*Feed_CompositionSwine!$F$8)+(G$38*Feed_CompositionSwine!$F$9)+(G$39*Feed_CompositionSwine!$F$10)+(G$40*Feed_CompositionSwine!$F$11)+(G$41*Feed_CompositionSwine!$F$12)+(G$42*Feed_CompositionSwine!$F$13)+(G$43*Feed_CompositionSwine!$F$14)+(G$44*Feed_CompositionSwine!$F$15))/G$9</f>
        <v>7.1862185188230881E-3</v>
      </c>
      <c r="H25" s="1004">
        <f>((H$31*Feed_CompositionSwine!$F$2)+(H$32*Feed_CompositionSwine!$F$3)+(H$33*Feed_CompositionSwine!$F$4)+(H$34*Feed_CompositionSwine!$F$5)+(H$35*Feed_CompositionSwine!$F$6)+(H$36*Feed_CompositionSwine!$F$7)+(H$37*Feed_CompositionSwine!$F$8)+(H$38*Feed_CompositionSwine!$F$9)+(H$39*Feed_CompositionSwine!$F$10)+(H$40*Feed_CompositionSwine!$F$11)+(H$41*Feed_CompositionSwine!$F$12)+(H$42*Feed_CompositionSwine!$F$13)+(H$43*Feed_CompositionSwine!$F$14)+(H$44*Feed_CompositionSwine!$F$15))/H$9</f>
        <v>7.3496423462088688E-3</v>
      </c>
      <c r="I25" s="1004">
        <f>((I$31*Feed_CompositionSwine!$F$2)+(I$32*Feed_CompositionSwine!$F$3)+(I$33*Feed_CompositionSwine!$F$4)+(I$34*Feed_CompositionSwine!$F$5)+(I$35*Feed_CompositionSwine!$F$6)+(I$36*Feed_CompositionSwine!$F$7)+(I$37*Feed_CompositionSwine!$F$8)+(I$38*Feed_CompositionSwine!$F$9)+(I$39*Feed_CompositionSwine!$F$10)+(I$40*Feed_CompositionSwine!$F$11)+(I$41*Feed_CompositionSwine!$F$12)+(I$42*Feed_CompositionSwine!$F$13)+(I$43*Feed_CompositionSwine!$F$14)+(I$44*Feed_CompositionSwine!$F$15))/I$9</f>
        <v>7.5490944454623616E-3</v>
      </c>
      <c r="J25" s="1004">
        <f>((J$31*Feed_CompositionSwine!$F$2)+(J$32*Feed_CompositionSwine!$F$3)+(J$33*Feed_CompositionSwine!$F$4)+(J$34*Feed_CompositionSwine!$F$5)+(J$35*Feed_CompositionSwine!$F$6)+(J$36*Feed_CompositionSwine!$F$7)+(J$37*Feed_CompositionSwine!$F$8)+(J$38*Feed_CompositionSwine!$F$9)+(J$39*Feed_CompositionSwine!$F$10)+(J$40*Feed_CompositionSwine!$F$11)+(J$41*Feed_CompositionSwine!$F$12)+(J$42*Feed_CompositionSwine!$F$13)+(J$43*Feed_CompositionSwine!$F$14)+(J$44*Feed_CompositionSwine!$F$15))/J$9</f>
        <v>7.2173007764160056E-3</v>
      </c>
      <c r="K25" s="1000"/>
    </row>
    <row r="26" spans="1:26">
      <c r="A26" s="1039" t="s">
        <v>411</v>
      </c>
      <c r="B26" s="1040"/>
      <c r="C26" s="1041">
        <v>0.23699999999999999</v>
      </c>
      <c r="D26" s="1041">
        <v>0.2</v>
      </c>
      <c r="E26" s="1041">
        <v>0.18</v>
      </c>
      <c r="F26" s="1041">
        <v>0.13800000000000001</v>
      </c>
      <c r="G26" s="1041">
        <v>0.129</v>
      </c>
      <c r="H26" s="1041">
        <v>0.17</v>
      </c>
      <c r="I26" s="1040">
        <v>14</v>
      </c>
      <c r="J26" s="1041">
        <v>0.13</v>
      </c>
      <c r="K26" s="1000"/>
    </row>
    <row r="27" spans="1:26">
      <c r="A27" s="1003" t="s">
        <v>290</v>
      </c>
      <c r="B27" s="1003"/>
      <c r="C27" s="1004">
        <f>((C$31*Feed_CompositionSwine!$G$2)+(C$32*Feed_CompositionSwine!$G$3)+(C$33*Feed_CompositionSwine!$G$4)+(C$34*Feed_CompositionSwine!$G$5)+(C$35*Feed_CompositionSwine!$G$6)+(C$36*Feed_CompositionSwine!$G$7)+(C$37*Feed_CompositionSwine!$G$8)+(C$38*Feed_CompositionSwine!$G$9)+(C$39*Feed_CompositionSwine!$G$10)+(C$40*Feed_CompositionSwine!$G$11)+(C$41*Feed_CompositionSwine!$G$12)+(C$42*Feed_CompositionSwine!$G$13)+(C$43*Feed_CompositionSwine!$G$14)+(C$44*Feed_CompositionSwine!$G$15))/C$9</f>
        <v>0.26229142418679557</v>
      </c>
      <c r="D27" s="1004">
        <f>((D$31*Feed_CompositionSwine!$G$2)+(D$32*Feed_CompositionSwine!$G$3)+(D$33*Feed_CompositionSwine!$G$4)+(D$34*Feed_CompositionSwine!$G$5)+(D$35*Feed_CompositionSwine!$G$6)+(D$36*Feed_CompositionSwine!$G$7)+(D$37*Feed_CompositionSwine!$G$8)+(D$38*Feed_CompositionSwine!$G$9)+(D$39*Feed_CompositionSwine!$G$10)+(D$40*Feed_CompositionSwine!$G$11)+(D$41*Feed_CompositionSwine!$G$12)+(D$42*Feed_CompositionSwine!$G$13)+(D$43*Feed_CompositionSwine!$G$14)+(D$44*Feed_CompositionSwine!$G$15))/D$9</f>
        <v>0.25154463016964829</v>
      </c>
      <c r="E27" s="1004">
        <f>((E$31*Feed_CompositionSwine!$G$2)+(E$32*Feed_CompositionSwine!$G$3)+(E$33*Feed_CompositionSwine!$G$4)+(E$34*Feed_CompositionSwine!$G$5)+(E$35*Feed_CompositionSwine!$G$6)+(E$36*Feed_CompositionSwine!$G$7)+(E$37*Feed_CompositionSwine!$G$8)+(E$38*Feed_CompositionSwine!$G$9)+(E$39*Feed_CompositionSwine!$G$10)+(E$40*Feed_CompositionSwine!$G$11)+(E$41*Feed_CompositionSwine!$G$12)+(E$42*Feed_CompositionSwine!$G$13)+(E$43*Feed_CompositionSwine!$G$14)+(E$44*Feed_CompositionSwine!$G$15))/E$9</f>
        <v>0.19787639374159235</v>
      </c>
      <c r="F27" s="1004">
        <f>((F$31*Feed_CompositionSwine!$G$2)+(F$32*Feed_CompositionSwine!$G$3)+(F$33*Feed_CompositionSwine!$G$4)+(F$34*Feed_CompositionSwine!$G$5)+(F$35*Feed_CompositionSwine!$G$6)+(F$36*Feed_CompositionSwine!$G$7)+(F$37*Feed_CompositionSwine!$G$8)+(F$38*Feed_CompositionSwine!$G$9)+(F$39*Feed_CompositionSwine!$G$10)+(F$40*Feed_CompositionSwine!$G$11)+(F$41*Feed_CompositionSwine!$G$12)+(F$42*Feed_CompositionSwine!$G$13)+(F$43*Feed_CompositionSwine!$G$14)+(F$44*Feed_CompositionSwine!$G$15))/F$9</f>
        <v>0.17474147982328478</v>
      </c>
      <c r="G27" s="1004">
        <f>((G$31*Feed_CompositionSwine!$G$2)+(G$32*Feed_CompositionSwine!$G$3)+(G$33*Feed_CompositionSwine!$G$4)+(G$34*Feed_CompositionSwine!$G$5)+(G$35*Feed_CompositionSwine!$G$6)+(G$36*Feed_CompositionSwine!$G$7)+(G$37*Feed_CompositionSwine!$G$8)+(G$38*Feed_CompositionSwine!$G$9)+(G$39*Feed_CompositionSwine!$G$10)+(G$40*Feed_CompositionSwine!$G$11)+(G$41*Feed_CompositionSwine!$G$12)+(G$42*Feed_CompositionSwine!$G$13)+(G$43*Feed_CompositionSwine!$G$14)+(G$44*Feed_CompositionSwine!$G$15))/G$9</f>
        <v>0.17391908533501255</v>
      </c>
      <c r="H27" s="1004">
        <f>((H$31*Feed_CompositionSwine!$G$2)+(H$32*Feed_CompositionSwine!$G$3)+(H$33*Feed_CompositionSwine!$G$4)+(H$34*Feed_CompositionSwine!$G$5)+(H$35*Feed_CompositionSwine!$G$6)+(H$36*Feed_CompositionSwine!$G$7)+(H$37*Feed_CompositionSwine!$G$8)+(H$38*Feed_CompositionSwine!$G$9)+(H$39*Feed_CompositionSwine!$G$10)+(H$40*Feed_CompositionSwine!$G$11)+(H$41*Feed_CompositionSwine!$G$12)+(H$42*Feed_CompositionSwine!$G$13)+(H$43*Feed_CompositionSwine!$G$14)+(H$44*Feed_CompositionSwine!$G$15))/H$9</f>
        <v>0.17239390355175557</v>
      </c>
      <c r="I27" s="1004">
        <f>((I$31*Feed_CompositionSwine!$G$2)+(I$32*Feed_CompositionSwine!$G$3)+(I$33*Feed_CompositionSwine!$G$4)+(I$34*Feed_CompositionSwine!$G$5)+(I$35*Feed_CompositionSwine!$G$6)+(I$36*Feed_CompositionSwine!$G$7)+(I$37*Feed_CompositionSwine!$G$8)+(I$38*Feed_CompositionSwine!$G$9)+(I$39*Feed_CompositionSwine!$G$10)+(I$40*Feed_CompositionSwine!$G$11)+(I$41*Feed_CompositionSwine!$G$12)+(I$42*Feed_CompositionSwine!$G$13)+(I$43*Feed_CompositionSwine!$G$14)+(I$44*Feed_CompositionSwine!$G$15))/I$9</f>
        <v>0.1768514749615932</v>
      </c>
      <c r="J27" s="1004">
        <f>((J$31*Feed_CompositionSwine!$G$2)+(J$32*Feed_CompositionSwine!$G$3)+(J$33*Feed_CompositionSwine!$G$4)+(J$34*Feed_CompositionSwine!$G$5)+(J$35*Feed_CompositionSwine!$G$6)+(J$36*Feed_CompositionSwine!$G$7)+(J$37*Feed_CompositionSwine!$G$8)+(J$38*Feed_CompositionSwine!$G$9)+(J$39*Feed_CompositionSwine!$G$10)+(J$40*Feed_CompositionSwine!$G$11)+(J$41*Feed_CompositionSwine!$G$12)+(J$42*Feed_CompositionSwine!$G$13)+(J$43*Feed_CompositionSwine!$G$14)+(J$44*Feed_CompositionSwine!$G$15))/J$9</f>
        <v>0.17474147982328478</v>
      </c>
      <c r="K27" s="1000"/>
    </row>
    <row r="28" spans="1:26">
      <c r="A28" s="994" t="s">
        <v>886</v>
      </c>
      <c r="B28" s="1003"/>
      <c r="C28" s="1004">
        <f>((C$31*Feed_CompositionSwine!$G$2)+(C$32*Feed_CompositionSwine!$G$3)+(C$33*Feed_CompositionSwine!$G$4)+(C$34*Feed_CompositionSwine!$G$5)+(C$35*Feed_CompositionSwine!$G$6)+(C$36*Feed_CompositionSwine!$G$7)+(C$37*Feed_CompositionSwine!$G$8)+(C$38*Feed_CompositionSwine!$G$9)+(C$39*Feed_CompositionSwine!$G$10)+(C$40*Feed_CompositionSwine!$G$11)+(C$41*Feed_CompositionSwine!$G$12)+(C$42*Feed_CompositionSwine!$G$13)+(C$43*Feed_CompositionSwine!$G$14)+(C$44*Feed_CompositionSwine!$G$15))/C$12</f>
        <v>0.23518045799999998</v>
      </c>
      <c r="D28" s="1004">
        <f>((D$31*Feed_CompositionSwine!$G$2)+(D$32*Feed_CompositionSwine!$G$3)+(D$33*Feed_CompositionSwine!$G$4)+(D$34*Feed_CompositionSwine!$G$5)+(D$35*Feed_CompositionSwine!$G$6)+(D$36*Feed_CompositionSwine!$G$7)+(D$37*Feed_CompositionSwine!$G$8)+(D$38*Feed_CompositionSwine!$G$9)+(D$39*Feed_CompositionSwine!$G$10)+(D$40*Feed_CompositionSwine!$G$11)+(D$41*Feed_CompositionSwine!$G$12)+(D$42*Feed_CompositionSwine!$G$13)+(D$43*Feed_CompositionSwine!$G$14)+(D$44*Feed_CompositionSwine!$G$15))/D$12</f>
        <v>0.22336322999999997</v>
      </c>
      <c r="E28" s="1004">
        <f>((E$31*Feed_CompositionSwine!$G$2)+(E$32*Feed_CompositionSwine!$G$3)+(E$33*Feed_CompositionSwine!$G$4)+(E$34*Feed_CompositionSwine!$G$5)+(E$35*Feed_CompositionSwine!$G$6)+(E$36*Feed_CompositionSwine!$G$7)+(E$37*Feed_CompositionSwine!$G$8)+(E$38*Feed_CompositionSwine!$G$9)+(E$39*Feed_CompositionSwine!$G$10)+(E$40*Feed_CompositionSwine!$G$11)+(E$41*Feed_CompositionSwine!$G$12)+(E$42*Feed_CompositionSwine!$G$13)+(E$43*Feed_CompositionSwine!$G$14)+(E$44*Feed_CompositionSwine!$G$15))/E$12</f>
        <v>0.17533906399999996</v>
      </c>
      <c r="F28" s="1004">
        <f>((F$31*Feed_CompositionSwine!$G$2)+(F$32*Feed_CompositionSwine!$G$3)+(F$33*Feed_CompositionSwine!$G$4)+(F$34*Feed_CompositionSwine!$G$5)+(F$35*Feed_CompositionSwine!$G$6)+(F$36*Feed_CompositionSwine!$G$7)+(F$37*Feed_CompositionSwine!$G$8)+(F$38*Feed_CompositionSwine!$G$9)+(F$39*Feed_CompositionSwine!$G$10)+(F$40*Feed_CompositionSwine!$G$11)+(F$41*Feed_CompositionSwine!$G$12)+(F$42*Feed_CompositionSwine!$G$13)+(F$43*Feed_CompositionSwine!$G$14)+(F$44*Feed_CompositionSwine!$G$15))/F$12</f>
        <v>0.1548311735</v>
      </c>
      <c r="G28" s="1004">
        <f>((G$31*Feed_CompositionSwine!$G$2)+(G$32*Feed_CompositionSwine!$G$3)+(G$33*Feed_CompositionSwine!$G$4)+(G$34*Feed_CompositionSwine!$G$5)+(G$35*Feed_CompositionSwine!$G$6)+(G$36*Feed_CompositionSwine!$G$7)+(G$37*Feed_CompositionSwine!$G$8)+(G$38*Feed_CompositionSwine!$G$9)+(G$39*Feed_CompositionSwine!$G$10)+(G$40*Feed_CompositionSwine!$G$11)+(G$41*Feed_CompositionSwine!$G$12)+(G$42*Feed_CompositionSwine!$G$13)+(G$43*Feed_CompositionSwine!$G$14)+(G$44*Feed_CompositionSwine!$G$15))/G$12</f>
        <v>0.15439023299999996</v>
      </c>
      <c r="H28" s="1004">
        <f>((H$31*Feed_CompositionSwine!$G$2)+(H$32*Feed_CompositionSwine!$G$3)+(H$33*Feed_CompositionSwine!$G$4)+(H$34*Feed_CompositionSwine!$G$5)+(H$35*Feed_CompositionSwine!$G$6)+(H$36*Feed_CompositionSwine!$G$7)+(H$37*Feed_CompositionSwine!$G$8)+(H$38*Feed_CompositionSwine!$G$9)+(H$39*Feed_CompositionSwine!$G$10)+(H$40*Feed_CompositionSwine!$G$11)+(H$41*Feed_CompositionSwine!$G$12)+(H$42*Feed_CompositionSwine!$G$13)+(H$43*Feed_CompositionSwine!$G$14)+(H$44*Feed_CompositionSwine!$G$15))/H$12</f>
        <v>0.15303923999999997</v>
      </c>
      <c r="I28" s="1004">
        <f>((I$31*Feed_CompositionSwine!$G$2)+(I$32*Feed_CompositionSwine!$G$3)+(I$33*Feed_CompositionSwine!$G$4)+(I$34*Feed_CompositionSwine!$G$5)+(I$35*Feed_CompositionSwine!$G$6)+(I$36*Feed_CompositionSwine!$G$7)+(I$37*Feed_CompositionSwine!$G$8)+(I$38*Feed_CompositionSwine!$G$9)+(I$39*Feed_CompositionSwine!$G$10)+(I$40*Feed_CompositionSwine!$G$11)+(I$41*Feed_CompositionSwine!$G$12)+(I$42*Feed_CompositionSwine!$G$13)+(I$43*Feed_CompositionSwine!$G$14)+(I$44*Feed_CompositionSwine!$G$15))/I$12</f>
        <v>0.15684736249999998</v>
      </c>
      <c r="J28" s="1004">
        <f>((J$31*Feed_CompositionSwine!$G$2)+(J$32*Feed_CompositionSwine!$G$3)+(J$33*Feed_CompositionSwine!$G$4)+(J$34*Feed_CompositionSwine!$G$5)+(J$35*Feed_CompositionSwine!$G$6)+(J$36*Feed_CompositionSwine!$G$7)+(J$37*Feed_CompositionSwine!$G$8)+(J$38*Feed_CompositionSwine!$G$9)+(J$39*Feed_CompositionSwine!$G$10)+(J$40*Feed_CompositionSwine!$G$11)+(J$41*Feed_CompositionSwine!$G$12)+(J$42*Feed_CompositionSwine!$G$13)+(J$43*Feed_CompositionSwine!$G$14)+(J$44*Feed_CompositionSwine!$G$15))/J$12</f>
        <v>0.15483117349999997</v>
      </c>
      <c r="K28" s="1000"/>
    </row>
    <row r="29" spans="1:26">
      <c r="A29" s="994"/>
      <c r="B29" s="996"/>
      <c r="C29" s="999"/>
      <c r="D29" s="999"/>
      <c r="E29" s="999"/>
      <c r="F29" s="999"/>
      <c r="G29" s="999"/>
      <c r="H29" s="996"/>
      <c r="I29" s="996"/>
      <c r="J29" s="996"/>
      <c r="K29" s="1000"/>
    </row>
    <row r="30" spans="1:26">
      <c r="A30" s="554" t="s">
        <v>436</v>
      </c>
      <c r="B30" s="8"/>
      <c r="C30" s="675"/>
      <c r="D30" s="675"/>
      <c r="E30" s="675"/>
      <c r="F30" s="675"/>
      <c r="G30" s="675"/>
      <c r="H30" s="8"/>
      <c r="I30" s="8"/>
      <c r="J30" s="8"/>
    </row>
    <row r="31" spans="1:26">
      <c r="A31" s="8" t="s">
        <v>418</v>
      </c>
      <c r="B31" s="781"/>
      <c r="C31" s="963">
        <f>SwineFeedCalculator!B2*SwineFeedCalculator!B$17*Feed_CompositionSwine!$D2</f>
        <v>69.75</v>
      </c>
      <c r="D31" s="963">
        <f>SwineFeedCalculator!C2*SwineFeedCalculator!C$17*Feed_CompositionSwine!$D2</f>
        <v>0</v>
      </c>
      <c r="E31" s="963">
        <f>SwineFeedCalculator!D2*SwineFeedCalculator!D$17*Feed_CompositionSwine!$D2</f>
        <v>0</v>
      </c>
      <c r="F31" s="963">
        <f>SwineFeedCalculator!E2*SwineFeedCalculator!E$17*Feed_CompositionSwine!$D2</f>
        <v>0</v>
      </c>
      <c r="G31" s="963">
        <f>SwineFeedCalculator!F2*SwineFeedCalculator!F$17*Feed_CompositionSwine!$D2</f>
        <v>0</v>
      </c>
      <c r="H31" s="963">
        <f>SwineFeedCalculator!G2*SwineFeedCalculator!G$17*Feed_CompositionSwine!$D2</f>
        <v>0</v>
      </c>
      <c r="I31" s="963">
        <f>SwineFeedCalculator!H2*SwineFeedCalculator!H$17*Feed_CompositionSwine!$D2</f>
        <v>0</v>
      </c>
      <c r="J31" s="963">
        <f>SwineFeedCalculator!I2*SwineFeedCalculator!I$17*Feed_CompositionSwine!$D2</f>
        <v>0</v>
      </c>
    </row>
    <row r="32" spans="1:26">
      <c r="A32" s="8" t="s">
        <v>422</v>
      </c>
      <c r="B32" s="781"/>
      <c r="C32" s="963">
        <f>SwineFeedCalculator!B3*SwineFeedCalculator!B$17*Feed_CompositionSwine!$D3</f>
        <v>0</v>
      </c>
      <c r="D32" s="963">
        <f>SwineFeedCalculator!C3*SwineFeedCalculator!C$17*Feed_CompositionSwine!$D3</f>
        <v>0</v>
      </c>
      <c r="E32" s="963">
        <f>SwineFeedCalculator!D3*SwineFeedCalculator!D$17*Feed_CompositionSwine!$D3</f>
        <v>0</v>
      </c>
      <c r="F32" s="963">
        <f>SwineFeedCalculator!E3*SwineFeedCalculator!E$17*Feed_CompositionSwine!$D3</f>
        <v>0</v>
      </c>
      <c r="G32" s="963">
        <f>SwineFeedCalculator!F3*SwineFeedCalculator!F$17*Feed_CompositionSwine!$D3</f>
        <v>0</v>
      </c>
      <c r="H32" s="963">
        <f>SwineFeedCalculator!G3*SwineFeedCalculator!G$17*Feed_CompositionSwine!$D3</f>
        <v>0</v>
      </c>
      <c r="I32" s="963">
        <f>SwineFeedCalculator!H3*SwineFeedCalculator!H$17*Feed_CompositionSwine!$D3</f>
        <v>0</v>
      </c>
      <c r="J32" s="963">
        <f>SwineFeedCalculator!I3*SwineFeedCalculator!I$17*Feed_CompositionSwine!$D3</f>
        <v>0</v>
      </c>
    </row>
    <row r="33" spans="1:32">
      <c r="A33" s="8" t="s">
        <v>421</v>
      </c>
      <c r="B33" s="781"/>
      <c r="C33" s="963">
        <f>SwineFeedCalculator!B4*SwineFeedCalculator!B$17*Feed_CompositionSwine!$D4</f>
        <v>12.475</v>
      </c>
      <c r="D33" s="963">
        <f>SwineFeedCalculator!C4*SwineFeedCalculator!C$17*Feed_CompositionSwine!$D4</f>
        <v>47.454899999999995</v>
      </c>
      <c r="E33" s="963">
        <f>SwineFeedCalculator!D4*SwineFeedCalculator!D$17*Feed_CompositionSwine!$D4</f>
        <v>0</v>
      </c>
      <c r="F33" s="963">
        <f>SwineFeedCalculator!E4*SwineFeedCalculator!E$17*Feed_CompositionSwine!$D4</f>
        <v>0</v>
      </c>
      <c r="G33" s="963">
        <f>SwineFeedCalculator!F4*SwineFeedCalculator!F$17*Feed_CompositionSwine!$D4</f>
        <v>0</v>
      </c>
      <c r="H33" s="963">
        <f>SwineFeedCalculator!G4*SwineFeedCalculator!G$17*Feed_CompositionSwine!$D4</f>
        <v>157.185</v>
      </c>
      <c r="I33" s="963">
        <f>SwineFeedCalculator!H4*SwineFeedCalculator!H$17*Feed_CompositionSwine!$D4</f>
        <v>0</v>
      </c>
      <c r="J33" s="963">
        <f>SwineFeedCalculator!I4*SwineFeedCalculator!I$17*Feed_CompositionSwine!$D4</f>
        <v>0</v>
      </c>
    </row>
    <row r="34" spans="1:32">
      <c r="A34" s="8" t="s">
        <v>310</v>
      </c>
      <c r="B34" s="781"/>
      <c r="C34" s="963">
        <f>SwineFeedCalculator!B5*SwineFeedCalculator!B$17*Feed_CompositionSwine!$D5</f>
        <v>45</v>
      </c>
      <c r="D34" s="963">
        <f>SwineFeedCalculator!C5*SwineFeedCalculator!C$17*Feed_CompositionSwine!$D5</f>
        <v>0</v>
      </c>
      <c r="E34" s="963">
        <f>SwineFeedCalculator!D5*SwineFeedCalculator!D$17*Feed_CompositionSwine!$D5</f>
        <v>0</v>
      </c>
      <c r="F34" s="963">
        <f>SwineFeedCalculator!E5*SwineFeedCalculator!E$17*Feed_CompositionSwine!$D5</f>
        <v>0</v>
      </c>
      <c r="G34" s="963">
        <f>SwineFeedCalculator!F5*SwineFeedCalculator!F$17*Feed_CompositionSwine!$D5</f>
        <v>0</v>
      </c>
      <c r="H34" s="963">
        <f>SwineFeedCalculator!G5*SwineFeedCalculator!G$17*Feed_CompositionSwine!$D5</f>
        <v>0</v>
      </c>
      <c r="I34" s="963">
        <f>SwineFeedCalculator!H5*SwineFeedCalculator!H$17*Feed_CompositionSwine!$D5</f>
        <v>0</v>
      </c>
      <c r="J34" s="963">
        <f>SwineFeedCalculator!I5*SwineFeedCalculator!I$17*Feed_CompositionSwine!$D5</f>
        <v>0</v>
      </c>
    </row>
    <row r="35" spans="1:32">
      <c r="A35" s="8" t="s">
        <v>311</v>
      </c>
      <c r="B35" s="781"/>
      <c r="C35" s="963">
        <f>SwineFeedCalculator!B6*SwineFeedCalculator!B$17*Feed_CompositionSwine!$D6</f>
        <v>129.77500000000001</v>
      </c>
      <c r="D35" s="963">
        <f>SwineFeedCalculator!C6*SwineFeedCalculator!C$17*Feed_CompositionSwine!$D6</f>
        <v>429.6</v>
      </c>
      <c r="E35" s="963">
        <f>SwineFeedCalculator!D6*SwineFeedCalculator!D$17*Feed_CompositionSwine!$D6</f>
        <v>170.05</v>
      </c>
      <c r="F35" s="963">
        <f>SwineFeedCalculator!E6*SwineFeedCalculator!E$17*Feed_CompositionSwine!$D6</f>
        <v>116.35000000000001</v>
      </c>
      <c r="G35" s="963">
        <f>SwineFeedCalculator!F6*SwineFeedCalculator!F$17*Feed_CompositionSwine!$D6</f>
        <v>82.787500000000009</v>
      </c>
      <c r="H35" s="963">
        <f>SwineFeedCalculator!G6*SwineFeedCalculator!G$17*Feed_CompositionSwine!$D6</f>
        <v>469.875</v>
      </c>
      <c r="I35" s="963">
        <f>SwineFeedCalculator!H6*SwineFeedCalculator!H$17*Feed_CompositionSwine!$D6</f>
        <v>250.6</v>
      </c>
      <c r="J35" s="963">
        <f>SwineFeedCalculator!I6*SwineFeedCalculator!I$17*Feed_CompositionSwine!$D6</f>
        <v>89.5</v>
      </c>
    </row>
    <row r="36" spans="1:32">
      <c r="A36" s="8" t="s">
        <v>312</v>
      </c>
      <c r="B36" s="781"/>
      <c r="C36" s="963">
        <f>SwineFeedCalculator!B7*SwineFeedCalculator!B$17*Feed_CompositionSwine!$D7</f>
        <v>5</v>
      </c>
      <c r="D36" s="963">
        <f>SwineFeedCalculator!C7*SwineFeedCalculator!C$17*Feed_CompositionSwine!$D7</f>
        <v>7.5</v>
      </c>
      <c r="E36" s="963">
        <f>SwineFeedCalculator!D7*SwineFeedCalculator!D$17*Feed_CompositionSwine!$D7</f>
        <v>0</v>
      </c>
      <c r="F36" s="963">
        <f>SwineFeedCalculator!E7*SwineFeedCalculator!E$17*Feed_CompositionSwine!$D7</f>
        <v>13</v>
      </c>
      <c r="G36" s="963">
        <f>SwineFeedCalculator!F7*SwineFeedCalculator!F$17*Feed_CompositionSwine!$D7</f>
        <v>18.5</v>
      </c>
      <c r="H36" s="963">
        <f>SwineFeedCalculator!G7*SwineFeedCalculator!G$17*Feed_CompositionSwine!$D7</f>
        <v>42</v>
      </c>
      <c r="I36" s="963">
        <f>SwineFeedCalculator!H7*SwineFeedCalculator!H$17*Feed_CompositionSwine!$D7</f>
        <v>0</v>
      </c>
      <c r="J36" s="963">
        <f>SwineFeedCalculator!I7*SwineFeedCalculator!I$17*Feed_CompositionSwine!$D7</f>
        <v>10</v>
      </c>
      <c r="T36" s="564"/>
    </row>
    <row r="37" spans="1:32">
      <c r="A37" s="8" t="s">
        <v>314</v>
      </c>
      <c r="B37" s="781"/>
      <c r="C37" s="963">
        <f>SwineFeedCalculator!B8*SwineFeedCalculator!B$17*Feed_CompositionSwine!$D8</f>
        <v>175.31899999999999</v>
      </c>
      <c r="D37" s="963">
        <f>SwineFeedCalculator!C8*SwineFeedCalculator!C$17*Feed_CompositionSwine!$D8</f>
        <v>700.39499999999987</v>
      </c>
      <c r="E37" s="963">
        <f>SwineFeedCalculator!D8*SwineFeedCalculator!D$17*Feed_CompositionSwine!$D8</f>
        <v>977.55759999999975</v>
      </c>
      <c r="F37" s="963">
        <f>SwineFeedCalculator!E8*SwineFeedCalculator!E$17*Feed_CompositionSwine!$D8</f>
        <v>1439.6420999999998</v>
      </c>
      <c r="G37" s="963">
        <f>SwineFeedCalculator!F8*SwineFeedCalculator!F$17*Feed_CompositionSwine!$D8</f>
        <v>1015.3965499999998</v>
      </c>
      <c r="H37" s="963">
        <f>SwineFeedCalculator!G8*SwineFeedCalculator!G$17*Feed_CompositionSwine!$D8</f>
        <v>2960.16</v>
      </c>
      <c r="I37" s="963">
        <f>SwineFeedCalculator!H8*SwineFeedCalculator!H$17*Feed_CompositionSwine!$D8</f>
        <v>1695.9249999999997</v>
      </c>
      <c r="J37" s="963">
        <f>SwineFeedCalculator!I8*SwineFeedCalculator!I$17*Feed_CompositionSwine!$D8</f>
        <v>1107.4169999999999</v>
      </c>
      <c r="M37" s="208"/>
      <c r="N37" s="208"/>
      <c r="O37" s="208"/>
      <c r="P37" s="208"/>
      <c r="Q37" s="208"/>
      <c r="R37" s="208"/>
      <c r="S37" s="208"/>
      <c r="T37" s="783"/>
      <c r="U37" s="208"/>
      <c r="V37" s="208"/>
      <c r="W37" s="208"/>
      <c r="X37" s="208"/>
      <c r="Y37" s="208"/>
      <c r="Z37" s="208"/>
    </row>
    <row r="38" spans="1:32">
      <c r="A38" s="8" t="s">
        <v>316</v>
      </c>
      <c r="B38" s="781"/>
      <c r="C38" s="963">
        <f>SwineFeedCalculator!B9*SwineFeedCalculator!B$17*Feed_CompositionSwine!$D9</f>
        <v>3.5</v>
      </c>
      <c r="D38" s="963">
        <f>SwineFeedCalculator!C9*SwineFeedCalculator!C$17*Feed_CompositionSwine!$D9</f>
        <v>11.55</v>
      </c>
      <c r="E38" s="963">
        <f>SwineFeedCalculator!D9*SwineFeedCalculator!D$17*Feed_CompositionSwine!$D9</f>
        <v>13.3</v>
      </c>
      <c r="F38" s="963">
        <f>SwineFeedCalculator!E9*SwineFeedCalculator!E$17*Feed_CompositionSwine!$D9</f>
        <v>23.4</v>
      </c>
      <c r="G38" s="963">
        <f>SwineFeedCalculator!F9*SwineFeedCalculator!F$17*Feed_CompositionSwine!$D9</f>
        <v>18.5</v>
      </c>
      <c r="H38" s="963">
        <f>SwineFeedCalculator!G9*SwineFeedCalculator!G$17*Feed_CompositionSwine!$D9</f>
        <v>41.212499999999999</v>
      </c>
      <c r="I38" s="963">
        <f>SwineFeedCalculator!H9*SwineFeedCalculator!H$17*Feed_CompositionSwine!$D9</f>
        <v>23.240000000000002</v>
      </c>
      <c r="J38" s="963">
        <f>SwineFeedCalculator!I9*SwineFeedCalculator!I$17*Feed_CompositionSwine!$D9</f>
        <v>18</v>
      </c>
      <c r="M38" s="208"/>
      <c r="N38" s="208"/>
      <c r="O38" s="208"/>
      <c r="P38" s="208"/>
      <c r="Q38" s="208"/>
      <c r="R38" s="208"/>
      <c r="S38" s="208"/>
      <c r="T38" s="783"/>
      <c r="U38" s="208"/>
      <c r="V38" s="208"/>
      <c r="W38" s="208"/>
      <c r="X38" s="208"/>
      <c r="Y38" s="208"/>
      <c r="Z38" s="208"/>
    </row>
    <row r="39" spans="1:32">
      <c r="A39" s="8" t="s">
        <v>317</v>
      </c>
      <c r="B39" s="781"/>
      <c r="C39" s="963">
        <f>SwineFeedCalculator!B10*SwineFeedCalculator!B$17*Feed_CompositionSwine!$D10</f>
        <v>0</v>
      </c>
      <c r="D39" s="963">
        <f>SwineFeedCalculator!C10*SwineFeedCalculator!C$17*Feed_CompositionSwine!$D10</f>
        <v>0</v>
      </c>
      <c r="E39" s="963">
        <f>SwineFeedCalculator!D10*SwineFeedCalculator!D$17*Feed_CompositionSwine!$D10</f>
        <v>0</v>
      </c>
      <c r="F39" s="963">
        <f>SwineFeedCalculator!E10*SwineFeedCalculator!E$17*Feed_CompositionSwine!$D10</f>
        <v>0</v>
      </c>
      <c r="G39" s="963">
        <f>SwineFeedCalculator!F10*SwineFeedCalculator!F$17*Feed_CompositionSwine!$D10</f>
        <v>0</v>
      </c>
      <c r="H39" s="963">
        <f>SwineFeedCalculator!G10*SwineFeedCalculator!G$17*Feed_CompositionSwine!$D10</f>
        <v>0</v>
      </c>
      <c r="I39" s="963">
        <f>SwineFeedCalculator!H10*SwineFeedCalculator!H$17*Feed_CompositionSwine!$D10</f>
        <v>0</v>
      </c>
      <c r="J39" s="963">
        <f>SwineFeedCalculator!I10*SwineFeedCalculator!I$17*Feed_CompositionSwine!$D10</f>
        <v>0</v>
      </c>
      <c r="M39" s="208"/>
      <c r="N39" s="208"/>
      <c r="O39" s="208"/>
      <c r="P39" s="208"/>
      <c r="Q39" s="208"/>
      <c r="R39" s="208"/>
      <c r="S39" s="208"/>
      <c r="T39" s="208"/>
      <c r="U39" s="208"/>
      <c r="V39" s="208"/>
      <c r="W39" s="208"/>
      <c r="X39" s="208"/>
      <c r="Y39" s="208"/>
      <c r="Z39" s="208"/>
    </row>
    <row r="40" spans="1:32">
      <c r="A40" s="8" t="s">
        <v>319</v>
      </c>
      <c r="B40" s="781"/>
      <c r="C40" s="963">
        <f>SwineFeedCalculator!B11*SwineFeedCalculator!B$17*Feed_CompositionSwine!$D11</f>
        <v>0</v>
      </c>
      <c r="D40" s="963">
        <f>SwineFeedCalculator!C11*SwineFeedCalculator!C$17*Feed_CompositionSwine!$D11</f>
        <v>0</v>
      </c>
      <c r="E40" s="963">
        <f>SwineFeedCalculator!D11*SwineFeedCalculator!D$17*Feed_CompositionSwine!$D11</f>
        <v>0</v>
      </c>
      <c r="F40" s="963">
        <f>SwineFeedCalculator!E11*SwineFeedCalculator!E$17*Feed_CompositionSwine!$D11</f>
        <v>0</v>
      </c>
      <c r="G40" s="963">
        <f>SwineFeedCalculator!F11*SwineFeedCalculator!F$17*Feed_CompositionSwine!$D11</f>
        <v>0</v>
      </c>
      <c r="H40" s="963">
        <f>SwineFeedCalculator!G11*SwineFeedCalculator!G$17*Feed_CompositionSwine!$D11</f>
        <v>0</v>
      </c>
      <c r="I40" s="963">
        <f>SwineFeedCalculator!H11*SwineFeedCalculator!H$17*Feed_CompositionSwine!$D11</f>
        <v>0</v>
      </c>
      <c r="J40" s="963">
        <f>SwineFeedCalculator!I11*SwineFeedCalculator!I$17*Feed_CompositionSwine!$D11</f>
        <v>0</v>
      </c>
      <c r="M40" s="208"/>
      <c r="N40" s="208"/>
      <c r="O40" s="208"/>
      <c r="P40" s="208"/>
      <c r="Q40" s="208"/>
      <c r="R40" s="208"/>
      <c r="S40" s="208"/>
      <c r="T40" s="208"/>
      <c r="U40" s="208"/>
      <c r="V40" s="208"/>
      <c r="W40" s="208"/>
      <c r="X40" s="208"/>
      <c r="Y40" s="208"/>
      <c r="Z40" s="208"/>
    </row>
    <row r="41" spans="1:32">
      <c r="A41" s="8" t="s">
        <v>320</v>
      </c>
      <c r="B41" s="781"/>
      <c r="C41" s="963">
        <f>SwineFeedCalculator!B12*SwineFeedCalculator!B$17*Feed_CompositionSwine!$D12</f>
        <v>0</v>
      </c>
      <c r="D41" s="963">
        <f>SwineFeedCalculator!C12*SwineFeedCalculator!C$17*Feed_CompositionSwine!$D12</f>
        <v>135.30000000000001</v>
      </c>
      <c r="E41" s="963">
        <f>SwineFeedCalculator!D12*SwineFeedCalculator!D$17*Feed_CompositionSwine!$D12</f>
        <v>514.14</v>
      </c>
      <c r="F41" s="963">
        <f>SwineFeedCalculator!E12*SwineFeedCalculator!E$17*Feed_CompositionSwine!$D12</f>
        <v>703.56000000000006</v>
      </c>
      <c r="G41" s="963">
        <f>SwineFeedCalculator!F12*SwineFeedCalculator!F$17*Feed_CompositionSwine!$D12</f>
        <v>500.61</v>
      </c>
      <c r="H41" s="963">
        <f>SwineFeedCalculator!G12*SwineFeedCalculator!G$17*Feed_CompositionSwine!$D12</f>
        <v>947.1</v>
      </c>
      <c r="I41" s="963">
        <f>SwineFeedCalculator!H12*SwineFeedCalculator!H$17*Feed_CompositionSwine!$D12</f>
        <v>505.12</v>
      </c>
      <c r="J41" s="963">
        <f>SwineFeedCalculator!I12*SwineFeedCalculator!I$17*Feed_CompositionSwine!$D12</f>
        <v>541.20000000000005</v>
      </c>
      <c r="M41" s="784"/>
      <c r="N41" s="785"/>
      <c r="O41" s="786"/>
      <c r="P41" s="786"/>
      <c r="Q41" s="786"/>
      <c r="R41" s="786"/>
      <c r="S41" s="786"/>
      <c r="T41" s="786"/>
      <c r="U41" s="786"/>
      <c r="V41" s="786"/>
      <c r="W41" s="786"/>
      <c r="X41" s="786"/>
      <c r="Y41" s="786"/>
      <c r="Z41" s="786"/>
    </row>
    <row r="42" spans="1:32">
      <c r="A42" s="8" t="s">
        <v>424</v>
      </c>
      <c r="B42" s="781"/>
      <c r="C42" s="963">
        <f>SwineFeedCalculator!B13*SwineFeedCalculator!B$17*Feed_CompositionSwine!$D13</f>
        <v>7.5</v>
      </c>
      <c r="D42" s="963">
        <f>SwineFeedCalculator!C13*SwineFeedCalculator!C$17*Feed_CompositionSwine!$D13</f>
        <v>0.15</v>
      </c>
      <c r="E42" s="963">
        <f>SwineFeedCalculator!D13*SwineFeedCalculator!D$17*Feed_CompositionSwine!$D13</f>
        <v>6.65</v>
      </c>
      <c r="F42" s="963">
        <f>SwineFeedCalculator!E13*SwineFeedCalculator!E$17*Feed_CompositionSwine!$D13</f>
        <v>7.8</v>
      </c>
      <c r="G42" s="963">
        <f>SwineFeedCalculator!F13*SwineFeedCalculator!F$17*Feed_CompositionSwine!$D13</f>
        <v>6.4750000000000005</v>
      </c>
      <c r="H42" s="963">
        <f>SwineFeedCalculator!G13*SwineFeedCalculator!G$17*Feed_CompositionSwine!$D13</f>
        <v>43.050000000000004</v>
      </c>
      <c r="I42" s="963">
        <f>SwineFeedCalculator!H13*SwineFeedCalculator!H$17*Feed_CompositionSwine!$D13</f>
        <v>7</v>
      </c>
      <c r="J42" s="963">
        <f>SwineFeedCalculator!I13*SwineFeedCalculator!I$17*Feed_CompositionSwine!$D13</f>
        <v>6</v>
      </c>
      <c r="M42" s="682"/>
      <c r="N42" s="682"/>
      <c r="O42" s="208"/>
      <c r="P42" s="208"/>
      <c r="Q42" s="208"/>
      <c r="R42" s="208"/>
      <c r="S42" s="682"/>
      <c r="T42" s="682"/>
      <c r="U42" s="682"/>
      <c r="V42" s="682"/>
      <c r="W42" s="682"/>
      <c r="X42" s="682"/>
      <c r="Y42" s="208"/>
      <c r="Z42" s="208"/>
    </row>
    <row r="43" spans="1:32">
      <c r="A43" s="8" t="s">
        <v>428</v>
      </c>
      <c r="B43" s="781"/>
      <c r="C43" s="963">
        <f>SwineFeedCalculator!B14*SwineFeedCalculator!B$17*Feed_CompositionSwine!$D14</f>
        <v>0</v>
      </c>
      <c r="D43" s="963">
        <f>SwineFeedCalculator!C14*SwineFeedCalculator!C$17*Feed_CompositionSwine!$D14</f>
        <v>0</v>
      </c>
      <c r="E43" s="963">
        <f>SwineFeedCalculator!D14*SwineFeedCalculator!D$17*Feed_CompositionSwine!$D14</f>
        <v>0</v>
      </c>
      <c r="F43" s="963">
        <f>SwineFeedCalculator!E14*SwineFeedCalculator!E$17*Feed_CompositionSwine!$D14</f>
        <v>0</v>
      </c>
      <c r="G43" s="963">
        <f>SwineFeedCalculator!F14*SwineFeedCalculator!F$17*Feed_CompositionSwine!$D14</f>
        <v>0</v>
      </c>
      <c r="H43" s="963">
        <f>SwineFeedCalculator!G14*SwineFeedCalculator!G$17*Feed_CompositionSwine!$D14</f>
        <v>0</v>
      </c>
      <c r="I43" s="963">
        <f>SwineFeedCalculator!H14*SwineFeedCalculator!H$17*Feed_CompositionSwine!$D14</f>
        <v>0</v>
      </c>
      <c r="J43" s="963">
        <f>SwineFeedCalculator!I14*SwineFeedCalculator!I$17*Feed_CompositionSwine!$D14</f>
        <v>0</v>
      </c>
      <c r="M43" s="682"/>
      <c r="N43" s="682"/>
      <c r="O43" s="208"/>
      <c r="P43" s="208"/>
      <c r="Q43" s="208"/>
      <c r="R43" s="208"/>
      <c r="S43" s="682"/>
      <c r="T43" s="682"/>
      <c r="U43" s="682"/>
      <c r="V43" s="682"/>
      <c r="W43" s="682"/>
      <c r="X43" s="682"/>
      <c r="Y43" s="208"/>
      <c r="Z43" s="208"/>
    </row>
    <row r="44" spans="1:32">
      <c r="A44" s="8" t="s">
        <v>412</v>
      </c>
      <c r="B44" s="781"/>
      <c r="C44" s="963">
        <f>SwineFeedCalculator!B15*SwineFeedCalculator!B$17*Feed_CompositionSwine!$D15</f>
        <v>0</v>
      </c>
      <c r="D44" s="963">
        <f>SwineFeedCalculator!C15*SwineFeedCalculator!C$17*Feed_CompositionSwine!$D15</f>
        <v>0</v>
      </c>
      <c r="E44" s="963">
        <f>SwineFeedCalculator!D15*SwineFeedCalculator!D$17*Feed_CompositionSwine!$D15</f>
        <v>0</v>
      </c>
      <c r="F44" s="963">
        <f>SwineFeedCalculator!E15*SwineFeedCalculator!E$17*Feed_CompositionSwine!$D15</f>
        <v>0</v>
      </c>
      <c r="G44" s="963">
        <f>SwineFeedCalculator!F15*SwineFeedCalculator!F$17*Feed_CompositionSwine!$D15</f>
        <v>0</v>
      </c>
      <c r="H44" s="963">
        <f>SwineFeedCalculator!G15*SwineFeedCalculator!G$17*Feed_CompositionSwine!$D15</f>
        <v>0</v>
      </c>
      <c r="I44" s="963">
        <f>SwineFeedCalculator!H15*SwineFeedCalculator!H$17*Feed_CompositionSwine!$D15</f>
        <v>0</v>
      </c>
      <c r="J44" s="963">
        <f>SwineFeedCalculator!I15*SwineFeedCalculator!I$17*Feed_CompositionSwine!$D15</f>
        <v>0</v>
      </c>
      <c r="M44" s="682"/>
      <c r="N44" s="682"/>
      <c r="O44" s="208"/>
      <c r="P44" s="208"/>
      <c r="Q44" s="208"/>
      <c r="R44" s="208"/>
      <c r="S44" s="682"/>
      <c r="T44" s="682"/>
      <c r="U44" s="682"/>
      <c r="V44" s="682"/>
      <c r="W44" s="682"/>
      <c r="X44" s="682"/>
      <c r="Y44" s="208"/>
      <c r="Z44" s="208"/>
      <c r="AA44" s="208"/>
    </row>
    <row r="45" spans="1:32">
      <c r="A45" s="8" t="s">
        <v>439</v>
      </c>
      <c r="B45" s="781"/>
      <c r="C45" s="963">
        <f>SwineFeedCalculator!B16*SwineFeedCalculator!B$17*Feed_CompositionSwine!$D16</f>
        <v>0</v>
      </c>
      <c r="D45" s="963">
        <f>SwineFeedCalculator!C16*SwineFeedCalculator!C$17*Feed_CompositionSwine!$D16</f>
        <v>0</v>
      </c>
      <c r="E45" s="963">
        <f>SwineFeedCalculator!D16*SwineFeedCalculator!D$17*Feed_CompositionSwine!$D16</f>
        <v>1.9000000000000001</v>
      </c>
      <c r="F45" s="963">
        <f>SwineFeedCalculator!E16*SwineFeedCalculator!E$17*Feed_CompositionSwine!$D16</f>
        <v>0</v>
      </c>
      <c r="G45" s="963">
        <f>SwineFeedCalculator!F16*SwineFeedCalculator!F$17*Feed_CompositionSwine!$D16</f>
        <v>0</v>
      </c>
      <c r="H45" s="963">
        <f>SwineFeedCalculator!G16*SwineFeedCalculator!G$17*Feed_CompositionSwine!$D16</f>
        <v>0</v>
      </c>
      <c r="I45" s="963">
        <f>SwineFeedCalculator!H16*SwineFeedCalculator!H$17*Feed_CompositionSwine!$D16</f>
        <v>1.4000000000000001</v>
      </c>
      <c r="J45" s="963">
        <f>SwineFeedCalculator!I16*SwineFeedCalculator!I$17*Feed_CompositionSwine!$D16</f>
        <v>0</v>
      </c>
      <c r="M45" s="682"/>
      <c r="N45" s="682"/>
      <c r="O45" s="208"/>
      <c r="P45" s="208"/>
      <c r="Q45" s="208"/>
      <c r="R45" s="208"/>
      <c r="S45" s="682"/>
      <c r="T45" s="682"/>
      <c r="U45" s="682"/>
      <c r="V45" s="682"/>
      <c r="W45" s="682"/>
      <c r="X45" s="682"/>
      <c r="Y45" s="208"/>
      <c r="Z45" s="208"/>
      <c r="AA45" s="208"/>
    </row>
    <row r="46" spans="1:32" ht="15" thickBot="1">
      <c r="A46" s="8" t="s">
        <v>775</v>
      </c>
      <c r="B46" s="8">
        <f>B11</f>
        <v>4819</v>
      </c>
      <c r="C46" s="675"/>
      <c r="D46" s="675"/>
      <c r="E46" s="675"/>
      <c r="F46" s="675"/>
      <c r="G46" s="675"/>
      <c r="H46" s="8"/>
      <c r="I46" s="8"/>
      <c r="J46" s="8"/>
      <c r="M46" s="787"/>
      <c r="N46" s="676"/>
      <c r="O46" s="585"/>
      <c r="P46" s="585"/>
      <c r="Q46" s="585"/>
      <c r="R46" s="585"/>
      <c r="S46" s="208"/>
      <c r="T46" s="788"/>
      <c r="U46" s="208"/>
      <c r="V46" s="788"/>
      <c r="W46" s="783"/>
      <c r="X46" s="676"/>
      <c r="Y46" s="616"/>
      <c r="Z46" s="208"/>
      <c r="AA46" s="208"/>
    </row>
    <row r="47" spans="1:32" ht="15.75" customHeight="1">
      <c r="A47" s="980"/>
      <c r="B47" s="989" t="s">
        <v>431</v>
      </c>
      <c r="C47" s="981" t="s">
        <v>386</v>
      </c>
      <c r="D47" s="981" t="s">
        <v>386</v>
      </c>
      <c r="E47" s="981" t="s">
        <v>389</v>
      </c>
      <c r="F47" s="981" t="s">
        <v>390</v>
      </c>
      <c r="G47" s="981" t="s">
        <v>407</v>
      </c>
      <c r="H47" s="981" t="s">
        <v>391</v>
      </c>
      <c r="I47" s="981" t="s">
        <v>225</v>
      </c>
      <c r="J47" s="982" t="s">
        <v>415</v>
      </c>
      <c r="K47" s="1297" t="s">
        <v>356</v>
      </c>
      <c r="L47" s="1299" t="s">
        <v>378</v>
      </c>
      <c r="M47" s="787"/>
      <c r="N47" s="676"/>
      <c r="O47" s="585"/>
      <c r="P47" s="585"/>
      <c r="Q47" s="585"/>
      <c r="R47" s="585"/>
      <c r="S47" s="208"/>
      <c r="T47" s="788"/>
      <c r="U47" s="208"/>
      <c r="V47" s="788"/>
      <c r="W47" s="783"/>
      <c r="X47" s="676"/>
      <c r="Y47" s="616"/>
      <c r="Z47" s="208"/>
      <c r="AA47" s="208"/>
      <c r="AB47" s="1218"/>
      <c r="AC47" s="1218"/>
      <c r="AD47" s="1218"/>
      <c r="AE47" s="1446"/>
      <c r="AF47" s="1446"/>
    </row>
    <row r="48" spans="1:32" s="584" customFormat="1" ht="15" thickBot="1">
      <c r="A48" s="794" t="s">
        <v>276</v>
      </c>
      <c r="B48" s="990">
        <f>IF(HogHerd!B14=0,HogHerd!B9,0)</f>
        <v>11671051.25795</v>
      </c>
      <c r="C48" s="984">
        <f>IF(HogHerd!B14=0,HogHerd!B9,(HogHerd!B9)/2)</f>
        <v>11671051.25795</v>
      </c>
      <c r="D48" s="984">
        <f>HogHerd!B9</f>
        <v>11671051.25795</v>
      </c>
      <c r="E48" s="984">
        <f>D48</f>
        <v>11671051.25795</v>
      </c>
      <c r="F48" s="984">
        <f>HogHerd!B8</f>
        <v>291350.152</v>
      </c>
      <c r="G48" s="984">
        <f>HogHerd!B7*(10/12)</f>
        <v>254732.37333333335</v>
      </c>
      <c r="H48" s="984">
        <f>HogHerd!B7*(2/12)</f>
        <v>50946.474666666662</v>
      </c>
      <c r="I48" s="984">
        <f>HogHerd!B9</f>
        <v>11671051.25795</v>
      </c>
      <c r="J48" s="985">
        <f>HogHerd!B17</f>
        <v>2151.5619999999999</v>
      </c>
      <c r="K48" s="1448"/>
      <c r="L48" s="1437"/>
      <c r="M48" s="787"/>
      <c r="N48" s="676"/>
      <c r="O48" s="585"/>
      <c r="P48" s="585"/>
      <c r="Q48" s="585"/>
      <c r="R48" s="585"/>
      <c r="S48" s="208"/>
      <c r="T48" s="788"/>
      <c r="U48" s="208"/>
      <c r="V48" s="788"/>
      <c r="W48" s="783"/>
      <c r="X48" s="676"/>
      <c r="Y48" s="616"/>
      <c r="Z48" s="208"/>
      <c r="AA48" s="786"/>
      <c r="AB48" s="786"/>
      <c r="AC48" s="786"/>
      <c r="AD48" s="786"/>
      <c r="AE48" s="1447"/>
      <c r="AF48" s="1447"/>
    </row>
    <row r="49" spans="1:32" s="63" customFormat="1" ht="27" customHeight="1" thickBot="1">
      <c r="A49" s="973" t="s">
        <v>884</v>
      </c>
      <c r="B49" s="1444" t="s">
        <v>429</v>
      </c>
      <c r="C49" s="1427"/>
      <c r="D49" s="1427"/>
      <c r="E49" s="1427"/>
      <c r="F49" s="1427"/>
      <c r="G49" s="1427"/>
      <c r="H49" s="1427"/>
      <c r="I49" s="1427"/>
      <c r="J49" s="1428"/>
      <c r="K49" s="610" t="s">
        <v>353</v>
      </c>
      <c r="L49" s="609" t="s">
        <v>184</v>
      </c>
      <c r="M49" s="787"/>
      <c r="N49" s="676"/>
      <c r="O49" s="585"/>
      <c r="P49" s="585"/>
      <c r="Q49" s="585"/>
      <c r="R49" s="585"/>
      <c r="S49" s="208"/>
      <c r="T49" s="788"/>
      <c r="U49" s="208"/>
      <c r="V49" s="788"/>
      <c r="W49" s="783"/>
      <c r="X49" s="676"/>
      <c r="Y49" s="616"/>
      <c r="Z49" s="208"/>
      <c r="AA49" s="208"/>
      <c r="AB49" s="208"/>
      <c r="AC49" s="208"/>
      <c r="AD49" s="208"/>
      <c r="AE49" s="796"/>
      <c r="AF49" s="796"/>
    </row>
    <row r="50" spans="1:32" s="63" customFormat="1" ht="20.25" customHeight="1">
      <c r="A50" s="648" t="s">
        <v>418</v>
      </c>
      <c r="B50" s="987"/>
      <c r="C50" s="965">
        <f>C31*HogHerd!$B$9*28</f>
        <v>22793563106.776352</v>
      </c>
      <c r="D50" s="966">
        <f>D31*HogHerd!$B$9*21</f>
        <v>0</v>
      </c>
      <c r="E50" s="966">
        <f>E31*HogHerd!$B$9*56</f>
        <v>0</v>
      </c>
      <c r="F50" s="967">
        <f>F31*HogHerd!$B$8*365</f>
        <v>0</v>
      </c>
      <c r="G50" s="966">
        <f>G31*(HogHerd!$B$7)*(10/12)*365</f>
        <v>0</v>
      </c>
      <c r="H50" s="966">
        <f>H31*(HogHerd!$B$7)*(2/12)*365</f>
        <v>0</v>
      </c>
      <c r="I50" s="966">
        <f>I31*(HogHerd!$B$9)*60</f>
        <v>0</v>
      </c>
      <c r="J50" s="968">
        <f>J31*HogHerd!$B$17*365</f>
        <v>0</v>
      </c>
      <c r="K50" s="611">
        <f>(SUM(B50:J50))/907184</f>
        <v>25125.622924099578</v>
      </c>
      <c r="L50" s="614">
        <f>K50*2000*Feed_CompositionSwine!E2</f>
        <v>301507.47508919495</v>
      </c>
      <c r="M50" s="787"/>
      <c r="N50" s="676"/>
      <c r="O50" s="585"/>
      <c r="P50" s="585"/>
      <c r="Q50" s="585"/>
      <c r="R50" s="585"/>
      <c r="S50" s="208"/>
      <c r="T50" s="788"/>
      <c r="U50" s="208"/>
      <c r="V50" s="788"/>
      <c r="W50" s="783"/>
      <c r="X50" s="676"/>
      <c r="Y50" s="616"/>
      <c r="Z50" s="208"/>
      <c r="AA50" s="208"/>
      <c r="AB50" s="208"/>
      <c r="AC50" s="208"/>
      <c r="AD50" s="208"/>
      <c r="AE50" s="1219"/>
      <c r="AF50" s="966"/>
    </row>
    <row r="51" spans="1:32" s="63" customFormat="1">
      <c r="A51" s="648" t="s">
        <v>422</v>
      </c>
      <c r="B51" s="987"/>
      <c r="C51" s="965">
        <f>C32*HogHerd!$B$9*28</f>
        <v>0</v>
      </c>
      <c r="D51" s="966">
        <f>D32*HogHerd!$B$9*21</f>
        <v>0</v>
      </c>
      <c r="E51" s="966">
        <f>E32*HogHerd!$B$9*56</f>
        <v>0</v>
      </c>
      <c r="F51" s="966">
        <f>F32*HogHerd!$B$8*365</f>
        <v>0</v>
      </c>
      <c r="G51" s="966">
        <f>G32*(HogHerd!$B$7)*(10/12)*365</f>
        <v>0</v>
      </c>
      <c r="H51" s="966">
        <f>H32*(HogHerd!$B$7)*(2/12)*365</f>
        <v>0</v>
      </c>
      <c r="I51" s="966">
        <f>I32*(HogHerd!$B$9)*60</f>
        <v>0</v>
      </c>
      <c r="J51" s="968">
        <f>J32*HogHerd!$B$17*365</f>
        <v>0</v>
      </c>
      <c r="K51" s="612">
        <f t="shared" ref="K51:K65" si="3">(SUM(B51:J51))/907184</f>
        <v>0</v>
      </c>
      <c r="L51" s="615">
        <f>K51*2000*Feed_CompositionSwine!E3</f>
        <v>0</v>
      </c>
      <c r="M51" s="787"/>
      <c r="N51" s="676"/>
      <c r="O51" s="585"/>
      <c r="P51" s="585"/>
      <c r="Q51" s="585"/>
      <c r="R51" s="585"/>
      <c r="S51" s="208"/>
      <c r="T51" s="788"/>
      <c r="U51" s="208"/>
      <c r="V51" s="788"/>
      <c r="W51" s="783"/>
      <c r="X51" s="676"/>
      <c r="Y51" s="616"/>
      <c r="Z51" s="208"/>
      <c r="AA51" s="208"/>
      <c r="AB51" s="208"/>
      <c r="AC51" s="208"/>
      <c r="AD51" s="208"/>
      <c r="AE51" s="1219"/>
      <c r="AF51" s="966"/>
    </row>
    <row r="52" spans="1:32" s="63" customFormat="1">
      <c r="A52" s="648" t="s">
        <v>421</v>
      </c>
      <c r="B52" s="987"/>
      <c r="C52" s="965">
        <f>C33*HogHerd!$B$9*28</f>
        <v>4076698204.4019351</v>
      </c>
      <c r="D52" s="966">
        <f>D33*HogHerd!$B$9*21</f>
        <v>11630819977.158718</v>
      </c>
      <c r="E52" s="966">
        <f>E33*HogHerd!$B$9*56</f>
        <v>0</v>
      </c>
      <c r="F52" s="966">
        <f>F33*HogHerd!$B$8*365</f>
        <v>0</v>
      </c>
      <c r="G52" s="966">
        <f>G33*(HogHerd!$B$7)*(10/12)*365</f>
        <v>0</v>
      </c>
      <c r="H52" s="966">
        <f>H33*(HogHerd!$B$7)*(2/12)*365</f>
        <v>2922927891.4751997</v>
      </c>
      <c r="I52" s="966">
        <f>I33*(HogHerd!$B$9)*60</f>
        <v>0</v>
      </c>
      <c r="J52" s="968">
        <f>J33*HogHerd!$B$17*365</f>
        <v>0</v>
      </c>
      <c r="K52" s="612">
        <f t="shared" si="3"/>
        <v>20536.568185765904</v>
      </c>
      <c r="L52" s="615">
        <f>K52*2000*Feed_CompositionSwine!E4</f>
        <v>0</v>
      </c>
      <c r="M52" s="787"/>
      <c r="N52" s="676"/>
      <c r="O52" s="585"/>
      <c r="P52" s="585"/>
      <c r="Q52" s="585"/>
      <c r="R52" s="585"/>
      <c r="S52" s="208"/>
      <c r="T52" s="788"/>
      <c r="U52" s="208"/>
      <c r="V52" s="788"/>
      <c r="W52" s="783"/>
      <c r="X52" s="676"/>
      <c r="Y52" s="616"/>
      <c r="Z52" s="208"/>
      <c r="AA52" s="208"/>
      <c r="AB52" s="208"/>
      <c r="AC52" s="208"/>
      <c r="AD52" s="208"/>
      <c r="AE52" s="1219"/>
      <c r="AF52" s="966"/>
    </row>
    <row r="53" spans="1:32">
      <c r="A53" s="648" t="s">
        <v>310</v>
      </c>
      <c r="B53" s="987"/>
      <c r="C53" s="965">
        <f>C34*HogHerd!$B$9*28</f>
        <v>14705524585.017</v>
      </c>
      <c r="D53" s="966">
        <f>D34*HogHerd!$B$9*21</f>
        <v>0</v>
      </c>
      <c r="E53" s="966">
        <f>E34*HogHerd!$B$9*56</f>
        <v>0</v>
      </c>
      <c r="F53" s="966">
        <f>F34*HogHerd!$B$8*365</f>
        <v>0</v>
      </c>
      <c r="G53" s="966">
        <f>G34*(HogHerd!$B$7)*(10/12)*365</f>
        <v>0</v>
      </c>
      <c r="H53" s="966">
        <f>H34*(HogHerd!$B$7)*(2/12)*365</f>
        <v>0</v>
      </c>
      <c r="I53" s="966">
        <f>I34*(HogHerd!$B$9)*60</f>
        <v>0</v>
      </c>
      <c r="J53" s="968">
        <f>J34*HogHerd!$B$17*365</f>
        <v>0</v>
      </c>
      <c r="K53" s="613">
        <f t="shared" si="3"/>
        <v>16210.079305870695</v>
      </c>
      <c r="L53" s="591">
        <f>K53*2000*Feed_CompositionSwine!E5</f>
        <v>129680.63444696556</v>
      </c>
      <c r="M53" s="787"/>
      <c r="N53" s="676"/>
      <c r="O53" s="585"/>
      <c r="P53" s="585"/>
      <c r="Q53" s="585"/>
      <c r="R53" s="585"/>
      <c r="S53" s="208"/>
      <c r="T53" s="788"/>
      <c r="U53" s="208"/>
      <c r="V53" s="788"/>
      <c r="W53" s="783"/>
      <c r="X53" s="676"/>
      <c r="Y53" s="616"/>
      <c r="Z53" s="208"/>
      <c r="AA53" s="208"/>
      <c r="AB53" s="208"/>
      <c r="AC53" s="208"/>
      <c r="AD53" s="208"/>
      <c r="AE53" s="1219"/>
      <c r="AF53" s="676"/>
    </row>
    <row r="54" spans="1:32">
      <c r="A54" s="648" t="s">
        <v>311</v>
      </c>
      <c r="B54" s="987"/>
      <c r="C54" s="965">
        <f>C35*HogHerd!$B$9*28</f>
        <v>42409098956.012917</v>
      </c>
      <c r="D54" s="966">
        <f>D35*HogHerd!$B$9*21</f>
        <v>105291556028.72173</v>
      </c>
      <c r="E54" s="966">
        <f>E35*HogHerd!$B$9*56</f>
        <v>111141086919.20627</v>
      </c>
      <c r="F54" s="966">
        <f>F35*HogHerd!$B$8*365</f>
        <v>12372985417.598001</v>
      </c>
      <c r="G54" s="966">
        <f>G35*(HogHerd!$B$7)*(10/12)*365</f>
        <v>7697359570.4266672</v>
      </c>
      <c r="H54" s="966">
        <f>H35*(HogHerd!$B$7)*(2/12)*365</f>
        <v>8737543296.1599998</v>
      </c>
      <c r="I54" s="966">
        <f>I35*(HogHerd!$B$9)*60</f>
        <v>175485926714.53619</v>
      </c>
      <c r="J54" s="968">
        <f>J35*HogHerd!$B$17*365</f>
        <v>70286151.635000005</v>
      </c>
      <c r="K54" s="613">
        <f t="shared" si="3"/>
        <v>510597.45658465842</v>
      </c>
      <c r="L54" s="591">
        <f>K54*2000*Feed_CompositionSwine!E6</f>
        <v>7148364.3921852186</v>
      </c>
      <c r="M54" s="787"/>
      <c r="N54" s="676"/>
      <c r="O54" s="585"/>
      <c r="P54" s="585"/>
      <c r="Q54" s="585"/>
      <c r="R54" s="585"/>
      <c r="S54" s="208"/>
      <c r="T54" s="788"/>
      <c r="U54" s="208"/>
      <c r="V54" s="208"/>
      <c r="W54" s="783"/>
      <c r="X54" s="676"/>
      <c r="Y54" s="616"/>
      <c r="Z54" s="208"/>
      <c r="AA54" s="208"/>
      <c r="AB54" s="208"/>
      <c r="AC54" s="208"/>
      <c r="AD54" s="208"/>
      <c r="AE54" s="1219"/>
      <c r="AF54" s="676"/>
    </row>
    <row r="55" spans="1:32">
      <c r="A55" s="648" t="s">
        <v>312</v>
      </c>
      <c r="B55" s="987"/>
      <c r="C55" s="965">
        <f>C36*HogHerd!$B$9*28</f>
        <v>1633947176.1130002</v>
      </c>
      <c r="D55" s="966">
        <f>D36*HogHerd!$B$9*21</f>
        <v>1838190573.127125</v>
      </c>
      <c r="E55" s="966">
        <f>E36*HogHerd!$B$9*56</f>
        <v>0</v>
      </c>
      <c r="F55" s="966">
        <f>F36*HogHerd!$B$8*365</f>
        <v>1382456471.24</v>
      </c>
      <c r="G55" s="966">
        <f>G36*(HogHerd!$B$7)*(10/12)*365</f>
        <v>1720080350.9333336</v>
      </c>
      <c r="H55" s="966">
        <f>H36*(HogHerd!$B$7)*(2/12)*365</f>
        <v>781009456.63999987</v>
      </c>
      <c r="I55" s="966">
        <f>I36*(HogHerd!$B$9)*60</f>
        <v>0</v>
      </c>
      <c r="J55" s="968">
        <f>J36*HogHerd!$B$17*365</f>
        <v>7853201.2999999998</v>
      </c>
      <c r="K55" s="613">
        <f t="shared" si="3"/>
        <v>8116.9169973825146</v>
      </c>
      <c r="L55" s="591">
        <f>K55*2000*Feed_CompositionSwine!E7</f>
        <v>3133129.9609896503</v>
      </c>
      <c r="M55" s="787"/>
      <c r="N55" s="676"/>
      <c r="O55" s="585"/>
      <c r="P55" s="585"/>
      <c r="Q55" s="585"/>
      <c r="R55" s="585"/>
      <c r="S55" s="208"/>
      <c r="T55" s="788"/>
      <c r="U55" s="208"/>
      <c r="V55" s="788"/>
      <c r="W55" s="783"/>
      <c r="X55" s="676"/>
      <c r="Y55" s="616"/>
      <c r="Z55" s="208"/>
      <c r="AA55" s="208"/>
      <c r="AB55" s="208"/>
      <c r="AC55" s="208"/>
      <c r="AD55" s="208"/>
      <c r="AE55" s="1219"/>
      <c r="AF55" s="676"/>
    </row>
    <row r="56" spans="1:32">
      <c r="A56" s="648" t="s">
        <v>314</v>
      </c>
      <c r="B56" s="987"/>
      <c r="C56" s="965">
        <f>C37*HogHerd!$B$9*28</f>
        <v>57292396993.791008</v>
      </c>
      <c r="D56" s="966">
        <f>D37*HogHerd!$B$9*21</f>
        <v>171661264862.04965</v>
      </c>
      <c r="E56" s="966">
        <f>E37*HogHerd!$B$9*56</f>
        <v>638910992003.12048</v>
      </c>
      <c r="F56" s="966">
        <f>F37*HogHerd!$B$8*365</f>
        <v>153095579801.11868</v>
      </c>
      <c r="G56" s="966">
        <f>G37*(HogHerd!$B$7)*(10/12)*365</f>
        <v>94408846165.432205</v>
      </c>
      <c r="H56" s="966">
        <f>H37*(HogHerd!$B$7)*(2/12)*365</f>
        <v>55045546503.98719</v>
      </c>
      <c r="I56" s="966">
        <f>I37*(HogHerd!$B$9)*60</f>
        <v>1187593656278.3311</v>
      </c>
      <c r="J56" s="968">
        <f>J37*HogHerd!$B$17*365</f>
        <v>869676862.40420997</v>
      </c>
      <c r="K56" s="613">
        <f t="shared" si="3"/>
        <v>2600219.9768406786</v>
      </c>
      <c r="L56" s="591">
        <f>K56*2000*Feed_CompositionSwine!E8</f>
        <v>15601319.861044072</v>
      </c>
      <c r="M56" s="787"/>
      <c r="N56" s="676"/>
      <c r="O56" s="318"/>
      <c r="P56" s="318"/>
      <c r="Q56" s="318"/>
      <c r="R56" s="318"/>
      <c r="S56" s="208"/>
      <c r="T56" s="788"/>
      <c r="U56" s="682"/>
      <c r="V56" s="208"/>
      <c r="W56" s="208"/>
      <c r="X56" s="676"/>
      <c r="Y56" s="616"/>
      <c r="Z56" s="208"/>
      <c r="AA56" s="208"/>
      <c r="AB56" s="208"/>
      <c r="AC56" s="208"/>
      <c r="AD56" s="208"/>
      <c r="AE56" s="1219"/>
      <c r="AF56" s="676"/>
    </row>
    <row r="57" spans="1:32">
      <c r="A57" s="648" t="s">
        <v>316</v>
      </c>
      <c r="B57" s="987"/>
      <c r="C57" s="965">
        <f>C38*HogHerd!$B$9*28</f>
        <v>1143763023.2790999</v>
      </c>
      <c r="D57" s="966">
        <f>D38*HogHerd!$B$9*21</f>
        <v>2830813482.6157727</v>
      </c>
      <c r="E57" s="966">
        <f>E38*HogHerd!$B$9*56</f>
        <v>8692598976.9211597</v>
      </c>
      <c r="F57" s="966">
        <f>F38*HogHerd!$B$8*365</f>
        <v>2488421648.2319999</v>
      </c>
      <c r="G57" s="966">
        <f>G38*(HogHerd!$B$7)*(10/12)*365</f>
        <v>1720080350.9333336</v>
      </c>
      <c r="H57" s="966">
        <f>H38*(HogHerd!$B$7)*(2/12)*365</f>
        <v>766365529.32799995</v>
      </c>
      <c r="I57" s="966">
        <f>I38*(HogHerd!$B$9)*60</f>
        <v>16274113874.085482</v>
      </c>
      <c r="J57" s="968">
        <f>J38*HogHerd!$B$17*365</f>
        <v>14135762.339999998</v>
      </c>
      <c r="K57" s="613">
        <f t="shared" si="3"/>
        <v>37401.775877589171</v>
      </c>
      <c r="L57" s="591">
        <f>K57*2000*Feed_CompositionSwine!E9</f>
        <v>14960.71035103567</v>
      </c>
      <c r="M57" s="787"/>
      <c r="N57" s="676"/>
      <c r="O57" s="318"/>
      <c r="P57" s="318"/>
      <c r="Q57" s="318"/>
      <c r="R57" s="318"/>
      <c r="S57" s="208"/>
      <c r="T57" s="788"/>
      <c r="U57" s="682"/>
      <c r="V57" s="208"/>
      <c r="W57" s="208"/>
      <c r="X57" s="676"/>
      <c r="Y57" s="616"/>
      <c r="Z57" s="208"/>
      <c r="AA57" s="208"/>
      <c r="AB57" s="208"/>
      <c r="AC57" s="208"/>
      <c r="AD57" s="208"/>
      <c r="AE57" s="1219"/>
      <c r="AF57" s="676"/>
    </row>
    <row r="58" spans="1:32">
      <c r="A58" s="648" t="s">
        <v>317</v>
      </c>
      <c r="B58" s="987"/>
      <c r="C58" s="965">
        <f>C39*HogHerd!$B$9*28</f>
        <v>0</v>
      </c>
      <c r="D58" s="966">
        <f>D39*HogHerd!$B$9*21</f>
        <v>0</v>
      </c>
      <c r="E58" s="966">
        <f>E39*HogHerd!$B$9*56</f>
        <v>0</v>
      </c>
      <c r="F58" s="966">
        <f>F39*HogHerd!$B$8*365</f>
        <v>0</v>
      </c>
      <c r="G58" s="966">
        <f>G39*(HogHerd!$B$7)*(10/12)*365</f>
        <v>0</v>
      </c>
      <c r="H58" s="966">
        <f>H39*(HogHerd!$B$7)*(2/12)*365</f>
        <v>0</v>
      </c>
      <c r="I58" s="966">
        <f>I39*(HogHerd!$B$9)*60</f>
        <v>0</v>
      </c>
      <c r="J58" s="968">
        <f>J39*HogHerd!$B$17*365</f>
        <v>0</v>
      </c>
      <c r="K58" s="613">
        <f t="shared" si="3"/>
        <v>0</v>
      </c>
      <c r="L58" s="591">
        <f>K58*2000*Feed_CompositionSwine!E10</f>
        <v>0</v>
      </c>
      <c r="M58" s="787"/>
      <c r="N58" s="676"/>
      <c r="O58" s="318"/>
      <c r="P58" s="318"/>
      <c r="Q58" s="318"/>
      <c r="R58" s="318"/>
      <c r="S58" s="208"/>
      <c r="T58" s="788"/>
      <c r="U58" s="682"/>
      <c r="V58" s="208"/>
      <c r="W58" s="208"/>
      <c r="X58" s="676"/>
      <c r="Y58" s="616"/>
      <c r="Z58" s="208"/>
      <c r="AA58" s="208"/>
      <c r="AB58" s="208"/>
      <c r="AC58" s="208"/>
      <c r="AD58" s="208"/>
      <c r="AE58" s="1219"/>
      <c r="AF58" s="676"/>
    </row>
    <row r="59" spans="1:32">
      <c r="A59" s="648" t="s">
        <v>319</v>
      </c>
      <c r="B59" s="987"/>
      <c r="C59" s="965">
        <f>C40*HogHerd!$B$9*28</f>
        <v>0</v>
      </c>
      <c r="D59" s="966">
        <f>D40*HogHerd!$B$9*21</f>
        <v>0</v>
      </c>
      <c r="E59" s="966">
        <f>E40*HogHerd!$B$9*56</f>
        <v>0</v>
      </c>
      <c r="F59" s="966">
        <f>F40*HogHerd!$B$8*365</f>
        <v>0</v>
      </c>
      <c r="G59" s="966">
        <f>G40*(HogHerd!$B$7)*(10/12)*365</f>
        <v>0</v>
      </c>
      <c r="H59" s="966">
        <f>H40*(HogHerd!$B$7)*(2/12)*365</f>
        <v>0</v>
      </c>
      <c r="I59" s="966">
        <f>I40*(HogHerd!$B$9)*60</f>
        <v>0</v>
      </c>
      <c r="J59" s="968">
        <f>J40*HogHerd!$B$17*365</f>
        <v>0</v>
      </c>
      <c r="K59" s="613">
        <f t="shared" si="3"/>
        <v>0</v>
      </c>
      <c r="L59" s="591">
        <f>K59*2000*Feed_CompositionSwine!E11</f>
        <v>0</v>
      </c>
      <c r="M59" s="787"/>
      <c r="N59" s="676"/>
      <c r="O59" s="585"/>
      <c r="P59" s="208"/>
      <c r="Q59" s="208"/>
      <c r="R59" s="208"/>
      <c r="S59" s="208"/>
      <c r="T59" s="208"/>
      <c r="U59" s="208"/>
      <c r="V59" s="208"/>
      <c r="W59" s="789"/>
      <c r="X59" s="789"/>
      <c r="Y59" s="208"/>
      <c r="Z59" s="208"/>
      <c r="AA59" s="208"/>
      <c r="AB59" s="208"/>
      <c r="AC59" s="208"/>
      <c r="AD59" s="208"/>
      <c r="AE59" s="1219"/>
      <c r="AF59" s="676"/>
    </row>
    <row r="60" spans="1:32">
      <c r="A60" s="648" t="s">
        <v>320</v>
      </c>
      <c r="B60" s="987"/>
      <c r="C60" s="965">
        <f>C41*HogHerd!$B$9*28</f>
        <v>0</v>
      </c>
      <c r="D60" s="966">
        <f>D41*HogHerd!$B$9*21</f>
        <v>33160957939.213341</v>
      </c>
      <c r="E60" s="966">
        <f>E41*HogHerd!$B$9*56</f>
        <v>336031040450.69513</v>
      </c>
      <c r="F60" s="966">
        <f>F41*HogHerd!$B$8*365</f>
        <v>74818544223.508804</v>
      </c>
      <c r="G60" s="966">
        <f>G41*(HogHerd!$B$7)*(10/12)*365</f>
        <v>46545374296.255997</v>
      </c>
      <c r="H60" s="966">
        <f>H41*(HogHerd!$B$7)*(2/12)*365</f>
        <v>17611763247.232002</v>
      </c>
      <c r="I60" s="966">
        <f>I41*(HogHerd!$B$9)*60</f>
        <v>353716884684.94226</v>
      </c>
      <c r="J60" s="968">
        <f>J41*HogHerd!$B$17*365</f>
        <v>425015254.35600001</v>
      </c>
      <c r="K60" s="613">
        <f t="shared" si="3"/>
        <v>950534.37901925447</v>
      </c>
      <c r="L60" s="591">
        <f>K60*2000*Feed_CompositionSwine!E12</f>
        <v>15778870.691719623</v>
      </c>
      <c r="M60" s="787"/>
      <c r="N60" s="676"/>
      <c r="O60" s="208"/>
      <c r="P60" s="208"/>
      <c r="Q60" s="208"/>
      <c r="R60" s="208"/>
      <c r="S60" s="208"/>
      <c r="T60" s="208"/>
      <c r="U60" s="208"/>
      <c r="V60" s="208"/>
      <c r="W60" s="208"/>
      <c r="X60" s="208"/>
      <c r="Y60" s="208"/>
      <c r="Z60" s="208"/>
      <c r="AA60" s="208"/>
      <c r="AB60" s="208"/>
      <c r="AC60" s="208"/>
      <c r="AD60" s="208"/>
      <c r="AE60" s="1219"/>
      <c r="AF60" s="676"/>
    </row>
    <row r="61" spans="1:32">
      <c r="A61" s="648" t="s">
        <v>424</v>
      </c>
      <c r="B61" s="987"/>
      <c r="C61" s="965">
        <f>C42*HogHerd!$B$9*28</f>
        <v>2450920764.1694999</v>
      </c>
      <c r="D61" s="966">
        <f>D42*HogHerd!$B$9*21</f>
        <v>36763811.462542504</v>
      </c>
      <c r="E61" s="966">
        <f>E42*HogHerd!$B$9*56</f>
        <v>4346299488.4605799</v>
      </c>
      <c r="F61" s="966">
        <f>F42*HogHerd!$B$8*365</f>
        <v>829473882.74399996</v>
      </c>
      <c r="G61" s="966">
        <f>G42*(HogHerd!$B$7)*(10/12)*365</f>
        <v>602028122.82666671</v>
      </c>
      <c r="H61" s="966">
        <f>H42*(HogHerd!$B$7)*(2/12)*365</f>
        <v>800534693.05599999</v>
      </c>
      <c r="I61" s="966">
        <f>I42*(HogHerd!$B$9)*60</f>
        <v>4901841528.3389997</v>
      </c>
      <c r="J61" s="968">
        <f>J42*HogHerd!$B$17*365</f>
        <v>4711920.7799999993</v>
      </c>
      <c r="K61" s="613">
        <f t="shared" si="3"/>
        <v>15402.139160124396</v>
      </c>
      <c r="L61" s="591">
        <f>K61*2000*Feed_CompositionSwine!E13</f>
        <v>0</v>
      </c>
      <c r="M61" s="787"/>
      <c r="N61" s="787"/>
      <c r="O61" s="208"/>
      <c r="P61" s="208"/>
      <c r="Q61" s="208"/>
      <c r="R61" s="208"/>
      <c r="S61" s="208"/>
      <c r="T61" s="208"/>
      <c r="U61" s="676"/>
      <c r="V61" s="676"/>
      <c r="W61" s="676"/>
      <c r="X61" s="208"/>
      <c r="Y61" s="208"/>
      <c r="Z61" s="208"/>
      <c r="AA61" s="208"/>
      <c r="AB61" s="208"/>
      <c r="AC61" s="208"/>
      <c r="AD61" s="208"/>
      <c r="AE61" s="1219"/>
      <c r="AF61" s="676"/>
    </row>
    <row r="62" spans="1:32">
      <c r="A62" s="648" t="s">
        <v>428</v>
      </c>
      <c r="B62" s="987"/>
      <c r="C62" s="965">
        <f>C43*HogHerd!$B$9*28</f>
        <v>0</v>
      </c>
      <c r="D62" s="966">
        <f>D43*HogHerd!$B$9*21</f>
        <v>0</v>
      </c>
      <c r="E62" s="966">
        <f>E43*HogHerd!$B$9*56</f>
        <v>0</v>
      </c>
      <c r="F62" s="966">
        <f>F43*HogHerd!$B$8*365</f>
        <v>0</v>
      </c>
      <c r="G62" s="966">
        <f>G43*(HogHerd!$B$7)*(10/12)*365</f>
        <v>0</v>
      </c>
      <c r="H62" s="966">
        <f>H43*(HogHerd!$B$7)*(2/12)*365</f>
        <v>0</v>
      </c>
      <c r="I62" s="966">
        <f>I43*(HogHerd!$B$9)*60</f>
        <v>0</v>
      </c>
      <c r="J62" s="968">
        <f>J43*HogHerd!$B$17*365</f>
        <v>0</v>
      </c>
      <c r="K62" s="613">
        <f t="shared" si="3"/>
        <v>0</v>
      </c>
      <c r="L62" s="591">
        <f>K62*2000*Feed_CompositionSwine!E14</f>
        <v>0</v>
      </c>
      <c r="M62" s="787"/>
      <c r="N62" s="787"/>
      <c r="O62" s="208"/>
      <c r="P62" s="208"/>
      <c r="Q62" s="208"/>
      <c r="R62" s="208"/>
      <c r="S62" s="208"/>
      <c r="T62" s="208"/>
      <c r="U62" s="676"/>
      <c r="V62" s="676"/>
      <c r="W62" s="676"/>
      <c r="X62" s="208"/>
      <c r="Y62" s="208"/>
      <c r="Z62" s="208"/>
      <c r="AA62" s="208"/>
      <c r="AB62" s="208"/>
      <c r="AC62" s="208"/>
      <c r="AD62" s="208"/>
      <c r="AE62" s="1219"/>
      <c r="AF62" s="676"/>
    </row>
    <row r="63" spans="1:32">
      <c r="A63" s="648" t="s">
        <v>286</v>
      </c>
      <c r="B63" s="987"/>
      <c r="C63" s="965">
        <f>C44*HogHerd!$B$9*28</f>
        <v>0</v>
      </c>
      <c r="D63" s="966">
        <f>D44*HogHerd!$B$9*21</f>
        <v>0</v>
      </c>
      <c r="E63" s="966">
        <f>E44*HogHerd!$B$9*56</f>
        <v>0</v>
      </c>
      <c r="F63" s="966">
        <f>F44*HogHerd!$B$8*365</f>
        <v>0</v>
      </c>
      <c r="G63" s="966">
        <f>G44*(HogHerd!$B$7)*(10/12)*365</f>
        <v>0</v>
      </c>
      <c r="H63" s="966">
        <f>H44*(HogHerd!$B$7)*(2/12)*365</f>
        <v>0</v>
      </c>
      <c r="I63" s="966">
        <f>I44*(HogHerd!$B$9)*60</f>
        <v>0</v>
      </c>
      <c r="J63" s="968">
        <f>J44*HogHerd!$B$17*365</f>
        <v>0</v>
      </c>
      <c r="K63" s="613">
        <f t="shared" si="3"/>
        <v>0</v>
      </c>
      <c r="L63" s="591">
        <f>K63*2000*Feed_CompositionSwine!E15</f>
        <v>0</v>
      </c>
      <c r="M63" s="787"/>
      <c r="N63" s="787"/>
      <c r="O63" s="208"/>
      <c r="P63" s="208"/>
      <c r="Q63" s="208"/>
      <c r="R63" s="208"/>
      <c r="S63" s="208"/>
      <c r="T63" s="208"/>
      <c r="U63" s="676"/>
      <c r="V63" s="676"/>
      <c r="W63" s="676"/>
      <c r="X63" s="208"/>
      <c r="Y63" s="208"/>
      <c r="Z63" s="208"/>
      <c r="AA63" s="208"/>
      <c r="AB63" s="208"/>
      <c r="AC63" s="208"/>
      <c r="AD63" s="208"/>
      <c r="AE63" s="1219"/>
      <c r="AF63" s="676"/>
    </row>
    <row r="64" spans="1:32">
      <c r="A64" s="648" t="s">
        <v>439</v>
      </c>
      <c r="B64" s="987"/>
      <c r="C64" s="965">
        <f>C45*HogHerd!$B$9*28</f>
        <v>0</v>
      </c>
      <c r="D64" s="966">
        <f>D45*HogHerd!$B$9*21</f>
        <v>0</v>
      </c>
      <c r="E64" s="966">
        <f>E45*HogHerd!$B$9*56</f>
        <v>1241799853.84588</v>
      </c>
      <c r="F64" s="966">
        <f>F45*HogHerd!$B$8*365</f>
        <v>0</v>
      </c>
      <c r="G64" s="966">
        <f>G45*(HogHerd!$B$7)*(10/12)*365</f>
        <v>0</v>
      </c>
      <c r="H64" s="966">
        <f>H45*(HogHerd!$B$7)*(2/12)*365</f>
        <v>0</v>
      </c>
      <c r="I64" s="966">
        <f>I45*(HogHerd!$B$9)*60</f>
        <v>980368305.66780007</v>
      </c>
      <c r="J64" s="968">
        <f>J45*HogHerd!$B$17*365</f>
        <v>0</v>
      </c>
      <c r="K64" s="613">
        <f t="shared" si="3"/>
        <v>2449.5230951093495</v>
      </c>
      <c r="L64" s="591">
        <f>K64*2000*Feed_CompositionSwine!E16</f>
        <v>0</v>
      </c>
      <c r="M64" s="787"/>
      <c r="N64" s="787"/>
      <c r="O64" s="208"/>
      <c r="P64" s="208"/>
      <c r="Q64" s="208"/>
      <c r="R64" s="208"/>
      <c r="S64" s="208"/>
      <c r="T64" s="208"/>
      <c r="U64" s="676"/>
      <c r="V64" s="676"/>
      <c r="W64" s="676"/>
      <c r="X64" s="208"/>
      <c r="Y64" s="208"/>
      <c r="Z64" s="208"/>
      <c r="AA64" s="208"/>
      <c r="AB64" s="208"/>
      <c r="AC64" s="208"/>
      <c r="AD64" s="208"/>
      <c r="AE64" s="1219"/>
      <c r="AF64" s="676"/>
    </row>
    <row r="65" spans="1:32" ht="15" thickBot="1">
      <c r="A65" s="986" t="s">
        <v>437</v>
      </c>
      <c r="B65" s="988">
        <f>B46*HogHerd!B9</f>
        <v>56242796012.06105</v>
      </c>
      <c r="C65" s="969">
        <f>C46*HogHerd!$B$9*28</f>
        <v>0</v>
      </c>
      <c r="D65" s="970">
        <f>D46*HogHerd!$B$9*21</f>
        <v>0</v>
      </c>
      <c r="E65" s="970">
        <f>E46*HogHerd!$B$9*56</f>
        <v>0</v>
      </c>
      <c r="F65" s="970">
        <f>F46*HogHerd!$B$8*365</f>
        <v>0</v>
      </c>
      <c r="G65" s="970">
        <f>G46*(HogHerd!$B$7)*(10/12)*365</f>
        <v>0</v>
      </c>
      <c r="H65" s="970">
        <f>H46*(HogHerd!$B$7)*(2/12)*365</f>
        <v>0</v>
      </c>
      <c r="I65" s="970">
        <f>I46*(HogHerd!$B$9)*60</f>
        <v>0</v>
      </c>
      <c r="J65" s="971">
        <f>J46*HogHerd!$B$17*365</f>
        <v>0</v>
      </c>
      <c r="K65" s="613">
        <f t="shared" si="3"/>
        <v>61997.120773802286</v>
      </c>
      <c r="L65" s="591">
        <f>((B65/100)*961)/453592</f>
        <v>1191584.6612724799</v>
      </c>
      <c r="M65" s="787"/>
      <c r="N65" s="787"/>
      <c r="O65" s="208"/>
      <c r="P65" s="208"/>
      <c r="Q65" s="208"/>
      <c r="R65" s="208"/>
      <c r="S65" s="208"/>
      <c r="T65" s="208"/>
      <c r="U65" s="676"/>
      <c r="V65" s="676"/>
      <c r="W65" s="676"/>
      <c r="X65" s="208"/>
      <c r="Y65" s="208"/>
      <c r="Z65" s="208"/>
      <c r="AA65" s="208"/>
      <c r="AB65" s="208"/>
      <c r="AC65" s="208"/>
      <c r="AD65" s="208"/>
      <c r="AE65" s="1219"/>
      <c r="AF65" s="676"/>
    </row>
    <row r="66" spans="1:32">
      <c r="H66" s="562"/>
      <c r="I66" s="562"/>
      <c r="J66" s="593"/>
      <c r="K66" s="841">
        <f>SUM(K50:K63)+(K65*0.2)</f>
        <v>4196544.3390501849</v>
      </c>
      <c r="L66" s="842">
        <f>SUM(L50:L65)</f>
        <v>43299418.387098238</v>
      </c>
      <c r="M66" s="842" t="s">
        <v>773</v>
      </c>
      <c r="N66" s="844"/>
      <c r="O66" s="208"/>
      <c r="P66" s="208"/>
      <c r="Q66" s="208"/>
      <c r="R66" s="208"/>
      <c r="S66" s="208"/>
      <c r="T66" s="790"/>
      <c r="U66" s="208"/>
      <c r="V66" s="208"/>
      <c r="W66" s="208"/>
      <c r="X66" s="208"/>
      <c r="Y66" s="208"/>
      <c r="Z66" s="208"/>
      <c r="AA66" s="208"/>
      <c r="AB66" s="208"/>
      <c r="AC66" s="208"/>
      <c r="AD66" s="208"/>
      <c r="AE66" s="789"/>
      <c r="AF66" s="789"/>
    </row>
    <row r="67" spans="1:32" ht="15" thickBot="1">
      <c r="F67" s="617"/>
      <c r="K67" s="845" t="s">
        <v>774</v>
      </c>
      <c r="L67" s="850" t="s">
        <v>348</v>
      </c>
      <c r="M67" s="851"/>
      <c r="N67" s="852"/>
      <c r="O67" s="208"/>
      <c r="P67" s="208"/>
      <c r="Q67" s="208"/>
      <c r="R67" s="208"/>
      <c r="S67" s="208"/>
      <c r="T67" s="790"/>
      <c r="U67" s="208"/>
      <c r="V67" s="769"/>
      <c r="W67" s="208"/>
      <c r="X67" s="208"/>
      <c r="Y67" s="208"/>
      <c r="Z67" s="208"/>
      <c r="AA67" s="208"/>
    </row>
    <row r="68" spans="1:32">
      <c r="M68" s="585"/>
      <c r="N68" s="208"/>
      <c r="O68" s="208"/>
      <c r="P68" s="208"/>
      <c r="Q68" s="208"/>
      <c r="R68" s="208"/>
      <c r="S68" s="208"/>
      <c r="T68" s="746"/>
      <c r="U68" s="789"/>
      <c r="V68" s="789"/>
      <c r="W68" s="789"/>
      <c r="X68" s="208"/>
      <c r="Y68" s="208"/>
      <c r="Z68" s="208"/>
      <c r="AA68" s="208"/>
    </row>
    <row r="69" spans="1:32">
      <c r="H69" s="562"/>
      <c r="I69" s="562"/>
      <c r="K69" s="561"/>
      <c r="M69" s="208"/>
      <c r="N69" s="208"/>
      <c r="O69" s="208"/>
      <c r="P69" s="208"/>
      <c r="Q69" s="208"/>
      <c r="R69" s="208"/>
      <c r="S69" s="208"/>
      <c r="T69" s="208"/>
      <c r="U69" s="208"/>
      <c r="V69" s="208"/>
      <c r="W69" s="208"/>
      <c r="X69" s="208"/>
      <c r="Y69" s="208"/>
      <c r="Z69" s="208"/>
      <c r="AA69" s="208"/>
    </row>
    <row r="70" spans="1:32">
      <c r="H70" s="562"/>
      <c r="I70" s="562"/>
      <c r="M70" s="208"/>
      <c r="N70" s="208"/>
      <c r="O70" s="208"/>
      <c r="P70" s="208"/>
      <c r="Q70" s="208"/>
      <c r="R70" s="208"/>
      <c r="S70" s="208"/>
      <c r="T70" s="208"/>
      <c r="U70" s="208"/>
      <c r="V70" s="208"/>
      <c r="W70" s="208"/>
      <c r="X70" s="208"/>
      <c r="Y70" s="208"/>
      <c r="Z70" s="208"/>
      <c r="AA70" s="208"/>
    </row>
    <row r="71" spans="1:32">
      <c r="E71" s="588"/>
      <c r="F71" s="588"/>
      <c r="G71" s="587"/>
      <c r="H71" s="561"/>
      <c r="I71" s="561"/>
      <c r="M71" s="208"/>
      <c r="N71" s="208"/>
      <c r="AA71" s="208"/>
    </row>
    <row r="72" spans="1:32">
      <c r="M72" s="208"/>
      <c r="N72" s="208"/>
      <c r="AA72" s="208"/>
    </row>
    <row r="73" spans="1:32">
      <c r="M73" s="208"/>
      <c r="N73" s="208"/>
      <c r="AA73" s="208"/>
    </row>
    <row r="74" spans="1:32">
      <c r="M74" s="208"/>
      <c r="N74" s="208"/>
      <c r="AA74" s="208"/>
    </row>
    <row r="75" spans="1:32">
      <c r="A75" s="585"/>
      <c r="B75" s="585"/>
      <c r="G75" s="587"/>
      <c r="H75" s="561"/>
      <c r="M75" s="208"/>
      <c r="N75" s="208"/>
      <c r="AA75" s="208"/>
    </row>
    <row r="76" spans="1:32">
      <c r="B76" s="8"/>
      <c r="C76" s="791"/>
      <c r="D76" s="792"/>
      <c r="E76" s="793"/>
      <c r="F76" s="792"/>
      <c r="G76" s="792"/>
      <c r="H76" s="792"/>
      <c r="I76" s="792"/>
      <c r="J76" s="792"/>
      <c r="K76" s="792"/>
      <c r="L76" s="793"/>
      <c r="M76" s="208"/>
      <c r="N76" s="208"/>
      <c r="AA76" s="208"/>
    </row>
    <row r="77" spans="1:32">
      <c r="H77" s="562"/>
      <c r="I77" s="562"/>
      <c r="J77" s="562"/>
      <c r="K77" s="562"/>
      <c r="L77" s="562"/>
      <c r="M77" s="208"/>
      <c r="N77" s="208"/>
      <c r="AA77" s="208"/>
    </row>
  </sheetData>
  <sheetProtection password="A4FF" sheet="1" objects="1" scenarios="1"/>
  <mergeCells count="7">
    <mergeCell ref="B49:J49"/>
    <mergeCell ref="M15:Y17"/>
    <mergeCell ref="M9:Z10"/>
    <mergeCell ref="AE47:AE48"/>
    <mergeCell ref="AF47:AF48"/>
    <mergeCell ref="K47:K48"/>
    <mergeCell ref="L47:L48"/>
  </mergeCells>
  <pageMargins left="0.7" right="0.7" top="0.75" bottom="0.75" header="0.3" footer="0.3"/>
  <pageSetup scale="35" orientation="landscape"/>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rgb="FFFF99FF"/>
  </sheetPr>
  <dimension ref="A1:AC16"/>
  <sheetViews>
    <sheetView workbookViewId="0">
      <selection activeCell="C10" sqref="C10"/>
    </sheetView>
  </sheetViews>
  <sheetFormatPr baseColWidth="10" defaultColWidth="8.83203125" defaultRowHeight="14" x14ac:dyDescent="0"/>
  <cols>
    <col min="1" max="1" width="41" customWidth="1"/>
    <col min="3" max="3" width="11.5" customWidth="1"/>
    <col min="4" max="4" width="21.83203125" customWidth="1"/>
    <col min="8" max="8" width="13.5" customWidth="1"/>
    <col min="9" max="9" width="15.1640625" customWidth="1"/>
  </cols>
  <sheetData>
    <row r="1" spans="1:29" ht="29.25" customHeight="1" thickBot="1">
      <c r="A1" s="928" t="s">
        <v>888</v>
      </c>
      <c r="C1" t="s">
        <v>776</v>
      </c>
      <c r="D1" t="s">
        <v>777</v>
      </c>
      <c r="E1" t="s">
        <v>323</v>
      </c>
      <c r="F1" t="s">
        <v>326</v>
      </c>
      <c r="G1" t="s">
        <v>324</v>
      </c>
      <c r="H1" t="s">
        <v>416</v>
      </c>
      <c r="I1" t="s">
        <v>419</v>
      </c>
    </row>
    <row r="2" spans="1:29">
      <c r="A2" t="s">
        <v>418</v>
      </c>
      <c r="C2" s="603">
        <f>(1-D2)+1</f>
        <v>1.0699999999999998</v>
      </c>
      <c r="D2" s="603">
        <v>0.93</v>
      </c>
      <c r="E2" s="603">
        <v>6.0000000000000001E-3</v>
      </c>
      <c r="F2" s="603">
        <v>1.0500000000000001E-2</v>
      </c>
      <c r="G2" s="603">
        <v>0.371</v>
      </c>
      <c r="H2" s="603">
        <v>0</v>
      </c>
      <c r="I2" s="603"/>
      <c r="K2" s="718" t="s">
        <v>650</v>
      </c>
      <c r="L2" s="719"/>
      <c r="M2" s="719"/>
      <c r="N2" s="719"/>
      <c r="O2" s="719"/>
      <c r="P2" s="719"/>
      <c r="Q2" s="719"/>
      <c r="R2" s="719"/>
      <c r="S2" s="719"/>
      <c r="T2" s="719"/>
      <c r="U2" s="719"/>
      <c r="V2" s="719"/>
      <c r="W2" s="719"/>
      <c r="X2" s="719"/>
      <c r="Y2" s="719"/>
      <c r="Z2" s="719"/>
      <c r="AA2" s="719"/>
      <c r="AB2" s="719"/>
      <c r="AC2" s="699"/>
    </row>
    <row r="3" spans="1:29">
      <c r="A3" t="s">
        <v>423</v>
      </c>
      <c r="C3" s="603">
        <f>(1-D3)+1</f>
        <v>1.0880000000000001</v>
      </c>
      <c r="D3" s="603">
        <v>0.91200000000000003</v>
      </c>
      <c r="E3" s="603">
        <v>3.0499999999999999E-2</v>
      </c>
      <c r="F3" s="603">
        <v>7.4000000000000003E-3</v>
      </c>
      <c r="G3" s="603">
        <v>0.68500000000000005</v>
      </c>
      <c r="H3" s="603">
        <v>7.6499999999999999E-2</v>
      </c>
      <c r="I3" s="603"/>
      <c r="K3" s="721"/>
      <c r="L3" s="698"/>
      <c r="M3" s="698"/>
      <c r="N3" s="698"/>
      <c r="O3" s="698"/>
      <c r="P3" s="698"/>
      <c r="Q3" s="698"/>
      <c r="R3" s="698"/>
      <c r="S3" s="698"/>
      <c r="T3" s="698"/>
      <c r="U3" s="698"/>
      <c r="V3" s="698"/>
      <c r="W3" s="698"/>
      <c r="X3" s="698"/>
      <c r="Y3" s="698"/>
      <c r="Z3" s="698"/>
      <c r="AA3" s="698"/>
      <c r="AB3" s="698"/>
      <c r="AC3" s="700"/>
    </row>
    <row r="4" spans="1:29">
      <c r="A4" t="s">
        <v>421</v>
      </c>
      <c r="C4" s="603">
        <f t="shared" ref="C4:C13" si="0">(1-D4)+1</f>
        <v>1.002</v>
      </c>
      <c r="D4" s="603">
        <v>0.998</v>
      </c>
      <c r="E4" s="603">
        <v>0</v>
      </c>
      <c r="F4" s="603">
        <v>0</v>
      </c>
      <c r="G4" s="603">
        <v>0</v>
      </c>
      <c r="H4" s="603">
        <v>0</v>
      </c>
      <c r="I4" s="603"/>
      <c r="K4" s="721" t="s">
        <v>781</v>
      </c>
      <c r="L4" s="698"/>
      <c r="M4" s="698"/>
      <c r="N4" s="698"/>
      <c r="O4" s="698"/>
      <c r="P4" s="698"/>
      <c r="Q4" s="698"/>
      <c r="R4" s="698"/>
      <c r="S4" s="698"/>
      <c r="T4" s="698"/>
      <c r="U4" s="698"/>
      <c r="V4" s="698"/>
      <c r="W4" s="698"/>
      <c r="X4" s="698"/>
      <c r="Y4" s="698"/>
      <c r="Z4" s="698"/>
      <c r="AA4" s="698"/>
      <c r="AB4" s="698"/>
      <c r="AC4" s="700"/>
    </row>
    <row r="5" spans="1:29" ht="15" customHeight="1">
      <c r="A5" t="s">
        <v>414</v>
      </c>
      <c r="C5" s="603">
        <f t="shared" si="0"/>
        <v>1.1000000000000001</v>
      </c>
      <c r="D5" s="566">
        <v>0.9</v>
      </c>
      <c r="E5" s="566">
        <v>4.0000000000000001E-3</v>
      </c>
      <c r="F5" s="566">
        <v>5.1999999999999998E-3</v>
      </c>
      <c r="G5" s="566">
        <v>0.13200000000000001</v>
      </c>
      <c r="H5" s="603">
        <v>4.1799999999999997E-2</v>
      </c>
      <c r="K5" s="1288" t="s">
        <v>735</v>
      </c>
      <c r="L5" s="1317"/>
      <c r="M5" s="1317"/>
      <c r="N5" s="1317"/>
      <c r="O5" s="1317"/>
      <c r="P5" s="1317"/>
      <c r="Q5" s="1317"/>
      <c r="R5" s="1317"/>
      <c r="S5" s="1317"/>
      <c r="T5" s="1317"/>
      <c r="U5" s="1317"/>
      <c r="V5" s="1317"/>
      <c r="W5" s="1317"/>
      <c r="X5" s="1317"/>
      <c r="Y5" s="1317"/>
      <c r="Z5" s="1317"/>
      <c r="AA5" s="1317"/>
      <c r="AB5" s="1317"/>
      <c r="AC5" s="1290"/>
    </row>
    <row r="6" spans="1:29">
      <c r="A6" t="s">
        <v>311</v>
      </c>
      <c r="C6" s="603">
        <f t="shared" si="0"/>
        <v>1.105</v>
      </c>
      <c r="D6" s="566">
        <v>0.89500000000000002</v>
      </c>
      <c r="E6" s="566">
        <v>7.0000000000000001E-3</v>
      </c>
      <c r="F6" s="566">
        <v>2.41E-2</v>
      </c>
      <c r="G6" s="566">
        <v>0.53799999999999992</v>
      </c>
      <c r="H6" s="603">
        <v>6.2899999999999998E-2</v>
      </c>
      <c r="I6" s="566">
        <v>3.0200000000000001E-2</v>
      </c>
      <c r="K6" s="1291"/>
      <c r="L6" s="1317"/>
      <c r="M6" s="1317"/>
      <c r="N6" s="1317"/>
      <c r="O6" s="1317"/>
      <c r="P6" s="1317"/>
      <c r="Q6" s="1317"/>
      <c r="R6" s="1317"/>
      <c r="S6" s="1317"/>
      <c r="T6" s="1317"/>
      <c r="U6" s="1317"/>
      <c r="V6" s="1317"/>
      <c r="W6" s="1317"/>
      <c r="X6" s="1317"/>
      <c r="Y6" s="1317"/>
      <c r="Z6" s="1317"/>
      <c r="AA6" s="1317"/>
      <c r="AB6" s="1317"/>
      <c r="AC6" s="1290"/>
    </row>
    <row r="7" spans="1:29">
      <c r="A7" t="s">
        <v>312</v>
      </c>
      <c r="C7" s="603">
        <f t="shared" si="0"/>
        <v>1</v>
      </c>
      <c r="D7" s="566">
        <v>1</v>
      </c>
      <c r="E7" s="566">
        <v>0.193</v>
      </c>
      <c r="F7" s="566">
        <v>7.000000000000001E-4</v>
      </c>
      <c r="G7" s="566">
        <v>0</v>
      </c>
      <c r="H7" s="603">
        <v>0</v>
      </c>
      <c r="K7" s="750"/>
      <c r="L7" s="853"/>
      <c r="M7" s="853"/>
      <c r="N7" s="853"/>
      <c r="O7" s="853"/>
      <c r="P7" s="853"/>
      <c r="Q7" s="853"/>
      <c r="R7" s="853"/>
      <c r="S7" s="698"/>
      <c r="T7" s="698"/>
      <c r="U7" s="698"/>
      <c r="V7" s="698"/>
      <c r="W7" s="698"/>
      <c r="X7" s="698"/>
      <c r="Y7" s="698"/>
      <c r="Z7" s="698"/>
      <c r="AA7" s="698"/>
      <c r="AB7" s="698"/>
      <c r="AC7" s="700"/>
    </row>
    <row r="8" spans="1:29">
      <c r="A8" t="s">
        <v>314</v>
      </c>
      <c r="C8" s="603">
        <f t="shared" si="0"/>
        <v>1.1190000000000002</v>
      </c>
      <c r="D8" s="566">
        <v>0.88099999999999989</v>
      </c>
      <c r="E8" s="566">
        <v>3.0000000000000001E-3</v>
      </c>
      <c r="F8" s="566">
        <v>4.1999999999999997E-3</v>
      </c>
      <c r="G8" s="566">
        <v>9.0999999999999998E-2</v>
      </c>
      <c r="H8" s="603">
        <v>2.8400000000000002E-2</v>
      </c>
      <c r="I8" s="566">
        <v>2.3999999999999998E-3</v>
      </c>
      <c r="K8" s="780" t="s">
        <v>782</v>
      </c>
      <c r="L8" s="698"/>
      <c r="M8" s="698"/>
      <c r="N8" s="698"/>
      <c r="O8" s="698"/>
      <c r="P8" s="698"/>
      <c r="Q8" s="698"/>
      <c r="R8" s="698"/>
      <c r="S8" s="698"/>
      <c r="T8" s="698"/>
      <c r="U8" s="698"/>
      <c r="V8" s="698"/>
      <c r="W8" s="698"/>
      <c r="X8" s="698"/>
      <c r="Y8" s="698"/>
      <c r="Z8" s="698"/>
      <c r="AA8" s="698"/>
      <c r="AB8" s="698"/>
      <c r="AC8" s="700"/>
    </row>
    <row r="9" spans="1:29">
      <c r="A9" t="s">
        <v>316</v>
      </c>
      <c r="C9" s="603">
        <f t="shared" si="0"/>
        <v>1</v>
      </c>
      <c r="D9" s="566">
        <v>1</v>
      </c>
      <c r="E9" s="566">
        <v>2.0000000000000001E-4</v>
      </c>
      <c r="F9" s="566">
        <v>1.1999999999999999E-3</v>
      </c>
      <c r="G9" s="566">
        <v>0</v>
      </c>
      <c r="H9" s="603">
        <v>0</v>
      </c>
      <c r="K9" s="840"/>
      <c r="L9" s="725" t="s">
        <v>771</v>
      </c>
      <c r="M9" s="698"/>
      <c r="N9" s="698"/>
      <c r="O9" s="698"/>
      <c r="P9" s="698"/>
      <c r="Q9" s="698"/>
      <c r="R9" s="698"/>
      <c r="S9" s="698"/>
      <c r="T9" s="698"/>
      <c r="U9" s="698"/>
      <c r="V9" s="698"/>
      <c r="W9" s="698"/>
      <c r="X9" s="698"/>
      <c r="Y9" s="698"/>
      <c r="Z9" s="698"/>
      <c r="AA9" s="698"/>
      <c r="AB9" s="698"/>
      <c r="AC9" s="700"/>
    </row>
    <row r="10" spans="1:29" ht="15" thickBot="1">
      <c r="A10" t="s">
        <v>317</v>
      </c>
      <c r="C10" s="603">
        <f t="shared" si="0"/>
        <v>2</v>
      </c>
      <c r="D10" s="566">
        <v>0</v>
      </c>
      <c r="E10" s="566">
        <v>0</v>
      </c>
      <c r="F10" s="566">
        <v>0</v>
      </c>
      <c r="G10" s="566">
        <v>0</v>
      </c>
      <c r="H10" s="603">
        <v>0</v>
      </c>
      <c r="K10" s="702"/>
      <c r="L10" s="703"/>
      <c r="M10" s="703"/>
      <c r="N10" s="703"/>
      <c r="O10" s="703"/>
      <c r="P10" s="703"/>
      <c r="Q10" s="703"/>
      <c r="R10" s="703"/>
      <c r="S10" s="703"/>
      <c r="T10" s="703"/>
      <c r="U10" s="703"/>
      <c r="V10" s="703"/>
      <c r="W10" s="703"/>
      <c r="X10" s="703"/>
      <c r="Y10" s="703"/>
      <c r="Z10" s="703"/>
      <c r="AA10" s="703"/>
      <c r="AB10" s="703"/>
      <c r="AC10" s="704"/>
    </row>
    <row r="11" spans="1:29">
      <c r="A11" t="s">
        <v>319</v>
      </c>
      <c r="C11" s="603">
        <f t="shared" si="0"/>
        <v>1.0899999999999999</v>
      </c>
      <c r="D11" s="566">
        <v>0.91</v>
      </c>
      <c r="E11" s="566">
        <v>6.4000000000000003E-3</v>
      </c>
      <c r="F11" s="566">
        <v>1.9900000000000001E-2</v>
      </c>
      <c r="G11" s="566">
        <v>0.43</v>
      </c>
      <c r="H11" s="603">
        <v>5.9799999999999999E-2</v>
      </c>
    </row>
    <row r="12" spans="1:29">
      <c r="A12" t="s">
        <v>320</v>
      </c>
      <c r="C12" s="603">
        <f t="shared" si="0"/>
        <v>1.0979999999999999</v>
      </c>
      <c r="D12" s="566">
        <v>0.90200000000000002</v>
      </c>
      <c r="E12" s="566">
        <v>8.3000000000000001E-3</v>
      </c>
      <c r="F12" s="566">
        <v>1.1000000000000001E-2</v>
      </c>
      <c r="G12" s="566">
        <v>0.29699999999999999</v>
      </c>
      <c r="H12" s="603">
        <v>2.24E-2</v>
      </c>
      <c r="I12" s="566">
        <v>7.7999999999999996E-3</v>
      </c>
    </row>
    <row r="13" spans="1:29">
      <c r="A13" t="s">
        <v>424</v>
      </c>
      <c r="C13" s="603">
        <f t="shared" si="0"/>
        <v>1</v>
      </c>
      <c r="D13" s="566">
        <v>1</v>
      </c>
      <c r="E13" s="566">
        <v>0</v>
      </c>
      <c r="F13" s="566">
        <v>0</v>
      </c>
      <c r="G13" s="566">
        <v>0</v>
      </c>
      <c r="H13" s="603">
        <v>0</v>
      </c>
    </row>
    <row r="14" spans="1:29">
      <c r="A14" t="s">
        <v>408</v>
      </c>
      <c r="D14" s="566"/>
      <c r="E14" s="566"/>
      <c r="F14" s="566"/>
      <c r="G14" s="566"/>
      <c r="H14" s="603"/>
    </row>
    <row r="15" spans="1:29">
      <c r="A15" t="s">
        <v>286</v>
      </c>
      <c r="D15" s="566">
        <v>1</v>
      </c>
      <c r="E15" s="566">
        <v>4.0000000000000002E-4</v>
      </c>
      <c r="F15" s="566">
        <v>5.9999999999999995E-4</v>
      </c>
      <c r="G15" s="566">
        <v>0</v>
      </c>
      <c r="H15" s="603">
        <v>0</v>
      </c>
    </row>
    <row r="16" spans="1:29">
      <c r="A16" t="s">
        <v>439</v>
      </c>
      <c r="D16" s="566">
        <v>1</v>
      </c>
      <c r="E16" s="566">
        <v>0</v>
      </c>
      <c r="F16" s="566">
        <v>0</v>
      </c>
      <c r="G16" s="566">
        <v>0</v>
      </c>
      <c r="H16" s="603">
        <v>0</v>
      </c>
    </row>
  </sheetData>
  <sheetProtection password="A4FF" sheet="1" objects="1" scenarios="1"/>
  <mergeCells count="1">
    <mergeCell ref="K5:AC6"/>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tabColor rgb="FFFF99FF"/>
  </sheetPr>
  <dimension ref="A1:X19"/>
  <sheetViews>
    <sheetView workbookViewId="0">
      <selection activeCell="K34" sqref="K34"/>
    </sheetView>
  </sheetViews>
  <sheetFormatPr baseColWidth="10" defaultColWidth="8.83203125" defaultRowHeight="14" x14ac:dyDescent="0"/>
  <cols>
    <col min="1" max="1" width="29.5" customWidth="1"/>
    <col min="6" max="6" width="12.6640625" customWidth="1"/>
    <col min="9" max="9" width="18" customWidth="1"/>
  </cols>
  <sheetData>
    <row r="1" spans="1:24" ht="29" thickBot="1">
      <c r="A1" s="748" t="s">
        <v>887</v>
      </c>
      <c r="B1" s="582" t="s">
        <v>386</v>
      </c>
      <c r="C1" s="582" t="s">
        <v>386</v>
      </c>
      <c r="D1" s="582" t="s">
        <v>389</v>
      </c>
      <c r="E1" s="582" t="s">
        <v>390</v>
      </c>
      <c r="F1" s="582" t="s">
        <v>407</v>
      </c>
      <c r="G1" s="582" t="s">
        <v>391</v>
      </c>
      <c r="H1" s="582" t="s">
        <v>225</v>
      </c>
      <c r="I1" s="582" t="s">
        <v>779</v>
      </c>
    </row>
    <row r="2" spans="1:24" s="63" customFormat="1">
      <c r="A2" s="63" t="s">
        <v>418</v>
      </c>
      <c r="B2" s="606">
        <v>0.15</v>
      </c>
      <c r="C2" s="606">
        <v>0</v>
      </c>
      <c r="D2" s="606"/>
      <c r="E2" s="606"/>
      <c r="F2" s="606"/>
      <c r="G2" s="606"/>
      <c r="H2" s="606"/>
      <c r="I2" s="606"/>
      <c r="L2" s="718" t="s">
        <v>650</v>
      </c>
      <c r="M2" s="719"/>
      <c r="N2" s="719"/>
      <c r="O2" s="719"/>
      <c r="P2" s="719"/>
      <c r="Q2" s="719"/>
      <c r="R2" s="719"/>
      <c r="S2" s="719"/>
      <c r="T2" s="719"/>
      <c r="U2" s="719"/>
      <c r="V2" s="719"/>
      <c r="W2" s="719"/>
      <c r="X2" s="699"/>
    </row>
    <row r="3" spans="1:24" s="63" customFormat="1">
      <c r="A3" s="63" t="s">
        <v>420</v>
      </c>
      <c r="B3" s="606"/>
      <c r="C3" s="606"/>
      <c r="D3" s="606"/>
      <c r="E3" s="606"/>
      <c r="F3" s="606"/>
      <c r="G3" s="606"/>
      <c r="H3" s="606"/>
      <c r="I3" s="606"/>
      <c r="L3" s="721"/>
      <c r="M3" s="698"/>
      <c r="N3" s="698"/>
      <c r="O3" s="698"/>
      <c r="P3" s="698"/>
      <c r="Q3" s="698"/>
      <c r="R3" s="698"/>
      <c r="S3" s="698"/>
      <c r="T3" s="698"/>
      <c r="U3" s="698"/>
      <c r="V3" s="698"/>
      <c r="W3" s="698"/>
      <c r="X3" s="700"/>
    </row>
    <row r="4" spans="1:24" s="63" customFormat="1">
      <c r="A4" s="63" t="s">
        <v>421</v>
      </c>
      <c r="B4" s="606">
        <v>2.5000000000000001E-2</v>
      </c>
      <c r="C4" s="606">
        <v>3.1699999999999999E-2</v>
      </c>
      <c r="D4" s="606"/>
      <c r="E4" s="606"/>
      <c r="F4" s="606"/>
      <c r="G4" s="606">
        <v>0.03</v>
      </c>
      <c r="H4" s="606"/>
      <c r="I4" s="606"/>
      <c r="L4" s="1449" t="s">
        <v>778</v>
      </c>
      <c r="M4" s="1450"/>
      <c r="N4" s="1450"/>
      <c r="O4" s="1450"/>
      <c r="P4" s="1450"/>
      <c r="Q4" s="1450"/>
      <c r="R4" s="1450"/>
      <c r="S4" s="1450"/>
      <c r="T4" s="1450"/>
      <c r="U4" s="1450"/>
      <c r="V4" s="1450"/>
      <c r="W4" s="1450"/>
      <c r="X4" s="1451"/>
    </row>
    <row r="5" spans="1:24">
      <c r="A5" t="s">
        <v>414</v>
      </c>
      <c r="B5" s="607">
        <v>0.1</v>
      </c>
      <c r="C5" s="607"/>
      <c r="D5" s="607"/>
      <c r="E5" s="607"/>
      <c r="F5" s="607"/>
      <c r="G5" s="607"/>
      <c r="H5" s="607"/>
      <c r="I5" s="607"/>
      <c r="L5" s="1452"/>
      <c r="M5" s="1450"/>
      <c r="N5" s="1450"/>
      <c r="O5" s="1450"/>
      <c r="P5" s="1450"/>
      <c r="Q5" s="1450"/>
      <c r="R5" s="1450"/>
      <c r="S5" s="1450"/>
      <c r="T5" s="1450"/>
      <c r="U5" s="1450"/>
      <c r="V5" s="1450"/>
      <c r="W5" s="1450"/>
      <c r="X5" s="1451"/>
    </row>
    <row r="6" spans="1:24">
      <c r="A6" t="s">
        <v>311</v>
      </c>
      <c r="B6" s="566">
        <v>0.28999999999999998</v>
      </c>
      <c r="C6" s="566">
        <v>0.32</v>
      </c>
      <c r="D6" s="566">
        <v>0.1</v>
      </c>
      <c r="E6" s="566">
        <v>0.05</v>
      </c>
      <c r="F6" s="566">
        <v>0.05</v>
      </c>
      <c r="G6" s="566">
        <v>0.1</v>
      </c>
      <c r="H6" s="566">
        <v>0.1</v>
      </c>
      <c r="I6" s="566">
        <v>0.05</v>
      </c>
      <c r="L6" s="1308"/>
      <c r="M6" s="1306"/>
      <c r="N6" s="1306"/>
      <c r="O6" s="1306"/>
      <c r="P6" s="1306"/>
      <c r="Q6" s="1306"/>
      <c r="R6" s="1306"/>
      <c r="S6" s="1306"/>
      <c r="T6" s="1306"/>
      <c r="U6" s="1306"/>
      <c r="V6" s="1306"/>
      <c r="W6" s="1306"/>
      <c r="X6" s="1307"/>
    </row>
    <row r="7" spans="1:24">
      <c r="A7" t="s">
        <v>312</v>
      </c>
      <c r="B7" s="566">
        <v>0.01</v>
      </c>
      <c r="C7" s="566">
        <v>5.0000000000000001E-3</v>
      </c>
      <c r="D7" s="566">
        <v>0</v>
      </c>
      <c r="E7" s="566">
        <v>5.0000000000000001E-3</v>
      </c>
      <c r="F7" s="566">
        <v>0.01</v>
      </c>
      <c r="G7" s="566">
        <v>8.0000000000000002E-3</v>
      </c>
      <c r="H7" s="566">
        <v>0</v>
      </c>
      <c r="I7" s="566">
        <v>5.0000000000000001E-3</v>
      </c>
      <c r="L7" s="1308"/>
      <c r="M7" s="1306"/>
      <c r="N7" s="1306"/>
      <c r="O7" s="1306"/>
      <c r="P7" s="1306"/>
      <c r="Q7" s="1306"/>
      <c r="R7" s="1306"/>
      <c r="S7" s="1306"/>
      <c r="T7" s="1306"/>
      <c r="U7" s="1306"/>
      <c r="V7" s="1306"/>
      <c r="W7" s="1306"/>
      <c r="X7" s="1307"/>
    </row>
    <row r="8" spans="1:24">
      <c r="A8" t="s">
        <v>314</v>
      </c>
      <c r="B8" s="566">
        <v>0.39800000000000002</v>
      </c>
      <c r="C8" s="566">
        <v>0.53</v>
      </c>
      <c r="D8" s="566">
        <v>0.58399999999999996</v>
      </c>
      <c r="E8" s="566">
        <v>0.62849999999999995</v>
      </c>
      <c r="F8" s="566">
        <v>0.623</v>
      </c>
      <c r="G8" s="566">
        <v>0.64</v>
      </c>
      <c r="H8" s="566">
        <v>0.6875</v>
      </c>
      <c r="I8" s="566">
        <v>0.62849999999999995</v>
      </c>
      <c r="L8" s="1288" t="s">
        <v>784</v>
      </c>
      <c r="M8" s="1317"/>
      <c r="N8" s="1317"/>
      <c r="O8" s="1317"/>
      <c r="P8" s="1317"/>
      <c r="Q8" s="1317"/>
      <c r="R8" s="1317"/>
      <c r="S8" s="1317"/>
      <c r="T8" s="1317"/>
      <c r="U8" s="1317"/>
      <c r="V8" s="1317"/>
      <c r="W8" s="1317"/>
      <c r="X8" s="1290"/>
    </row>
    <row r="9" spans="1:24">
      <c r="A9" t="s">
        <v>316</v>
      </c>
      <c r="B9" s="566">
        <v>7.0000000000000001E-3</v>
      </c>
      <c r="C9" s="566">
        <v>7.7000000000000002E-3</v>
      </c>
      <c r="D9" s="566">
        <v>7.0000000000000001E-3</v>
      </c>
      <c r="E9" s="566">
        <v>8.9999999999999993E-3</v>
      </c>
      <c r="F9" s="566">
        <v>0.01</v>
      </c>
      <c r="G9" s="566">
        <v>7.8499999999999993E-3</v>
      </c>
      <c r="H9" s="566">
        <v>8.3000000000000001E-3</v>
      </c>
      <c r="I9" s="566">
        <v>8.9999999999999993E-3</v>
      </c>
      <c r="L9" s="1291"/>
      <c r="M9" s="1317"/>
      <c r="N9" s="1317"/>
      <c r="O9" s="1317"/>
      <c r="P9" s="1317"/>
      <c r="Q9" s="1317"/>
      <c r="R9" s="1317"/>
      <c r="S9" s="1317"/>
      <c r="T9" s="1317"/>
      <c r="U9" s="1317"/>
      <c r="V9" s="1317"/>
      <c r="W9" s="1317"/>
      <c r="X9" s="1290"/>
    </row>
    <row r="10" spans="1:24">
      <c r="A10" t="s">
        <v>317</v>
      </c>
      <c r="B10" s="566">
        <v>0</v>
      </c>
      <c r="C10" s="566">
        <v>3.0000000000000001E-5</v>
      </c>
      <c r="D10" s="566">
        <v>2E-3</v>
      </c>
      <c r="E10" s="566">
        <v>3.0000000000000001E-3</v>
      </c>
      <c r="F10" s="566">
        <v>3.5000000000000001E-3</v>
      </c>
      <c r="G10" s="566">
        <v>4.4000000000000003E-3</v>
      </c>
      <c r="H10" s="566"/>
      <c r="I10" s="566">
        <v>3.0000000000000001E-3</v>
      </c>
      <c r="L10" s="1291"/>
      <c r="M10" s="1317"/>
      <c r="N10" s="1317"/>
      <c r="O10" s="1317"/>
      <c r="P10" s="1317"/>
      <c r="Q10" s="1317"/>
      <c r="R10" s="1317"/>
      <c r="S10" s="1317"/>
      <c r="T10" s="1317"/>
      <c r="U10" s="1317"/>
      <c r="V10" s="1317"/>
      <c r="W10" s="1317"/>
      <c r="X10" s="1290"/>
    </row>
    <row r="11" spans="1:24">
      <c r="A11" t="s">
        <v>319</v>
      </c>
      <c r="B11" s="566"/>
      <c r="C11" s="566"/>
      <c r="D11" s="566"/>
      <c r="E11" s="566"/>
      <c r="F11" s="566"/>
      <c r="G11" s="566"/>
      <c r="H11" s="566">
        <v>0</v>
      </c>
      <c r="I11" s="566"/>
      <c r="L11" s="721"/>
      <c r="M11" s="698"/>
      <c r="N11" s="698"/>
      <c r="O11" s="698"/>
      <c r="P11" s="698"/>
      <c r="Q11" s="698"/>
      <c r="R11" s="698"/>
      <c r="S11" s="698"/>
      <c r="T11" s="698"/>
      <c r="U11" s="698"/>
      <c r="V11" s="698"/>
      <c r="W11" s="698"/>
      <c r="X11" s="700"/>
    </row>
    <row r="12" spans="1:24" ht="15" thickBot="1">
      <c r="A12" t="s">
        <v>320</v>
      </c>
      <c r="B12" s="566">
        <v>0</v>
      </c>
      <c r="C12" s="566">
        <v>0.1</v>
      </c>
      <c r="D12" s="566">
        <v>0.3</v>
      </c>
      <c r="E12" s="566">
        <v>0.3</v>
      </c>
      <c r="F12" s="566">
        <v>0.3</v>
      </c>
      <c r="G12" s="566">
        <v>0.2</v>
      </c>
      <c r="H12" s="566">
        <v>0.2</v>
      </c>
      <c r="I12" s="566">
        <v>0.3</v>
      </c>
      <c r="L12" s="702" t="s">
        <v>783</v>
      </c>
      <c r="M12" s="703"/>
      <c r="N12" s="703"/>
      <c r="O12" s="703"/>
      <c r="P12" s="703"/>
      <c r="Q12" s="703"/>
      <c r="R12" s="703"/>
      <c r="S12" s="703"/>
      <c r="T12" s="703"/>
      <c r="U12" s="703"/>
      <c r="V12" s="703"/>
      <c r="W12" s="703"/>
      <c r="X12" s="704"/>
    </row>
    <row r="13" spans="1:24">
      <c r="A13" t="s">
        <v>424</v>
      </c>
      <c r="B13" s="566">
        <v>1.4999999999999999E-2</v>
      </c>
      <c r="C13" s="566">
        <v>1E-4</v>
      </c>
      <c r="D13" s="566">
        <v>3.5000000000000001E-3</v>
      </c>
      <c r="E13" s="566">
        <v>3.0000000000000001E-3</v>
      </c>
      <c r="F13" s="566">
        <v>3.5000000000000001E-3</v>
      </c>
      <c r="G13" s="566">
        <v>8.2000000000000007E-3</v>
      </c>
      <c r="H13" s="566">
        <v>2.5000000000000001E-3</v>
      </c>
      <c r="I13" s="566">
        <v>3.0000000000000001E-3</v>
      </c>
    </row>
    <row r="14" spans="1:24">
      <c r="A14" t="s">
        <v>408</v>
      </c>
      <c r="B14" s="566">
        <v>5.0000000000000001E-3</v>
      </c>
      <c r="C14" s="566">
        <v>5.4999999999999997E-3</v>
      </c>
      <c r="D14" s="566">
        <v>2.5000000000000001E-3</v>
      </c>
      <c r="E14" s="566">
        <v>1.5E-3</v>
      </c>
      <c r="F14" s="566"/>
      <c r="G14" s="566">
        <v>1.5E-3</v>
      </c>
      <c r="H14" s="566">
        <v>1.1999999999999999E-3</v>
      </c>
      <c r="I14" s="566">
        <v>1.5E-3</v>
      </c>
    </row>
    <row r="15" spans="1:24">
      <c r="A15" t="s">
        <v>286</v>
      </c>
      <c r="B15" s="566"/>
      <c r="C15" s="566"/>
      <c r="D15" s="566"/>
      <c r="E15" s="566"/>
      <c r="F15" s="566"/>
      <c r="G15" s="566"/>
      <c r="H15" s="566"/>
      <c r="I15" s="566"/>
    </row>
    <row r="16" spans="1:24">
      <c r="A16" t="s">
        <v>439</v>
      </c>
      <c r="D16" s="566">
        <v>1E-3</v>
      </c>
      <c r="H16" s="566">
        <v>5.0000000000000001E-4</v>
      </c>
    </row>
    <row r="17" spans="1:9">
      <c r="A17" t="s">
        <v>440</v>
      </c>
      <c r="B17" s="562">
        <f>Swine_Nutrient!C12</f>
        <v>500</v>
      </c>
      <c r="C17" s="562">
        <f>Swine_Nutrient!D12</f>
        <v>1500</v>
      </c>
      <c r="D17" s="562">
        <f>Swine_Nutrient!E12</f>
        <v>1900</v>
      </c>
      <c r="E17" s="562">
        <f>Swine_Nutrient!F12</f>
        <v>2600</v>
      </c>
      <c r="F17" s="562">
        <f>Swine_Nutrient!G12</f>
        <v>1850</v>
      </c>
      <c r="G17" s="562">
        <f>Swine_Nutrient!H12</f>
        <v>5250</v>
      </c>
      <c r="H17">
        <f>Swine_Nutrient!I12</f>
        <v>2800</v>
      </c>
      <c r="I17" s="562">
        <f>Swine_Nutrient!J12</f>
        <v>2000</v>
      </c>
    </row>
    <row r="19" spans="1:9">
      <c r="B19" s="603">
        <f>SUM(B2:B15)</f>
        <v>1</v>
      </c>
      <c r="C19" s="603">
        <f t="shared" ref="C19:I19" si="0">SUM(C2:C15)</f>
        <v>1.00003</v>
      </c>
      <c r="D19" s="603">
        <f>SUM(D2:D16)</f>
        <v>0.99999999999999978</v>
      </c>
      <c r="E19" s="603">
        <f t="shared" si="0"/>
        <v>1</v>
      </c>
      <c r="F19" s="603">
        <f t="shared" si="0"/>
        <v>0.99999999999999989</v>
      </c>
      <c r="G19" s="603">
        <f t="shared" si="0"/>
        <v>0.99995000000000001</v>
      </c>
      <c r="H19" s="603">
        <f>SUM(H2:H16)</f>
        <v>0.99999999999999989</v>
      </c>
      <c r="I19" s="603">
        <f t="shared" si="0"/>
        <v>1</v>
      </c>
    </row>
  </sheetData>
  <sheetProtection password="A4FF" sheet="1" objects="1" scenarios="1"/>
  <mergeCells count="2">
    <mergeCell ref="L4:X7"/>
    <mergeCell ref="L8:X10"/>
  </mergeCells>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rgb="FFFF99FF"/>
  </sheetPr>
  <dimension ref="A1:Y23"/>
  <sheetViews>
    <sheetView workbookViewId="0">
      <selection activeCell="I25" sqref="I25"/>
    </sheetView>
  </sheetViews>
  <sheetFormatPr baseColWidth="10" defaultColWidth="8.83203125" defaultRowHeight="14" x14ac:dyDescent="0"/>
  <cols>
    <col min="1" max="1" width="33.6640625" customWidth="1"/>
    <col min="2" max="2" width="15.6640625" customWidth="1"/>
    <col min="3" max="3" width="10.1640625" customWidth="1"/>
    <col min="5" max="5" width="13.1640625" customWidth="1"/>
    <col min="6" max="6" width="11.6640625" customWidth="1"/>
    <col min="7" max="7" width="14.5" customWidth="1"/>
    <col min="8" max="8" width="15.5" customWidth="1"/>
    <col min="9" max="9" width="19" customWidth="1"/>
    <col min="10" max="10" width="18.6640625" customWidth="1"/>
  </cols>
  <sheetData>
    <row r="1" spans="1:25" ht="19" thickBot="1">
      <c r="A1" s="948" t="s">
        <v>887</v>
      </c>
      <c r="B1" s="575"/>
      <c r="C1" s="63"/>
      <c r="D1" s="63"/>
      <c r="E1" s="63"/>
      <c r="F1" s="575"/>
      <c r="G1" s="63"/>
      <c r="H1" s="63"/>
    </row>
    <row r="2" spans="1:25">
      <c r="A2" s="63"/>
      <c r="B2" s="575"/>
      <c r="C2" s="63"/>
      <c r="D2" s="63"/>
      <c r="E2" s="63"/>
      <c r="F2" s="575"/>
      <c r="G2" s="63"/>
      <c r="H2" s="63"/>
    </row>
    <row r="3" spans="1:25" ht="15" thickBot="1">
      <c r="A3" s="63"/>
      <c r="B3" s="575"/>
      <c r="C3" s="605"/>
      <c r="D3" s="63"/>
      <c r="E3" s="63"/>
      <c r="F3" s="575"/>
      <c r="G3" s="63"/>
      <c r="H3" s="63"/>
    </row>
    <row r="4" spans="1:25" ht="15" thickBot="1">
      <c r="A4" s="63"/>
      <c r="B4" s="575"/>
      <c r="C4" s="605"/>
      <c r="D4" s="63"/>
      <c r="E4" s="63"/>
      <c r="F4" s="575"/>
      <c r="G4" s="63"/>
      <c r="H4" s="63"/>
      <c r="N4" s="718" t="s">
        <v>650</v>
      </c>
      <c r="O4" s="719"/>
      <c r="P4" s="719"/>
      <c r="Q4" s="719"/>
      <c r="R4" s="719"/>
      <c r="S4" s="719"/>
      <c r="T4" s="719"/>
      <c r="U4" s="719"/>
      <c r="V4" s="719"/>
      <c r="W4" s="719"/>
      <c r="X4" s="719"/>
      <c r="Y4" s="699"/>
    </row>
    <row r="5" spans="1:25" ht="30" customHeight="1">
      <c r="A5" s="574" t="s">
        <v>334</v>
      </c>
      <c r="B5" s="835" t="s">
        <v>445</v>
      </c>
      <c r="C5" s="836" t="s">
        <v>448</v>
      </c>
      <c r="D5" s="836" t="s">
        <v>449</v>
      </c>
      <c r="E5" s="835" t="s">
        <v>183</v>
      </c>
      <c r="F5" s="835" t="s">
        <v>337</v>
      </c>
      <c r="G5" s="835" t="s">
        <v>337</v>
      </c>
      <c r="H5" s="835" t="s">
        <v>335</v>
      </c>
      <c r="I5" s="837" t="s">
        <v>357</v>
      </c>
      <c r="J5" s="838" t="s">
        <v>358</v>
      </c>
      <c r="N5" s="1288" t="s">
        <v>797</v>
      </c>
      <c r="O5" s="1321"/>
      <c r="P5" s="1321"/>
      <c r="Q5" s="1321"/>
      <c r="R5" s="1321"/>
      <c r="S5" s="1321"/>
      <c r="T5" s="1321"/>
      <c r="U5" s="1321"/>
      <c r="V5" s="1321"/>
      <c r="W5" s="1321"/>
      <c r="X5" s="1321"/>
      <c r="Y5" s="1322"/>
    </row>
    <row r="6" spans="1:25" ht="17.25" customHeight="1">
      <c r="A6" s="794"/>
      <c r="B6" s="795" t="s">
        <v>446</v>
      </c>
      <c r="C6" s="1304" t="s">
        <v>339</v>
      </c>
      <c r="D6" s="1453"/>
      <c r="E6" s="1453"/>
      <c r="F6" s="1453"/>
      <c r="G6" s="716" t="s">
        <v>340</v>
      </c>
      <c r="H6" s="795" t="s">
        <v>930</v>
      </c>
      <c r="I6" s="716" t="s">
        <v>359</v>
      </c>
      <c r="J6" s="797" t="s">
        <v>359</v>
      </c>
      <c r="N6" s="1288"/>
      <c r="O6" s="1321"/>
      <c r="P6" s="1321"/>
      <c r="Q6" s="1321"/>
      <c r="R6" s="1321"/>
      <c r="S6" s="1321"/>
      <c r="T6" s="1321"/>
      <c r="U6" s="1321"/>
      <c r="V6" s="1321"/>
      <c r="W6" s="1321"/>
      <c r="X6" s="1321"/>
      <c r="Y6" s="1322"/>
    </row>
    <row r="7" spans="1:25">
      <c r="A7" s="794"/>
      <c r="B7" s="798"/>
      <c r="C7" s="798"/>
      <c r="D7" s="798"/>
      <c r="E7" s="682"/>
      <c r="F7" s="682"/>
      <c r="G7" s="682"/>
      <c r="H7" s="746"/>
      <c r="I7" s="682"/>
      <c r="J7" s="799"/>
      <c r="N7" s="1288"/>
      <c r="O7" s="1321"/>
      <c r="P7" s="1321"/>
      <c r="Q7" s="1321"/>
      <c r="R7" s="1321"/>
      <c r="S7" s="1321"/>
      <c r="T7" s="1321"/>
      <c r="U7" s="1321"/>
      <c r="V7" s="1321"/>
      <c r="W7" s="1321"/>
      <c r="X7" s="1321"/>
      <c r="Y7" s="1322"/>
    </row>
    <row r="8" spans="1:25">
      <c r="A8" s="800" t="s">
        <v>444</v>
      </c>
      <c r="B8" s="801"/>
      <c r="C8" s="801"/>
      <c r="D8" s="801"/>
      <c r="E8" s="802"/>
      <c r="F8" s="802"/>
      <c r="G8" s="802"/>
      <c r="H8" s="803"/>
      <c r="I8" s="802"/>
      <c r="J8" s="804"/>
      <c r="N8" s="1288"/>
      <c r="O8" s="1321"/>
      <c r="P8" s="1321"/>
      <c r="Q8" s="1321"/>
      <c r="R8" s="1321"/>
      <c r="S8" s="1321"/>
      <c r="T8" s="1321"/>
      <c r="U8" s="1321"/>
      <c r="V8" s="1321"/>
      <c r="W8" s="1321"/>
      <c r="X8" s="1321"/>
      <c r="Y8" s="1322"/>
    </row>
    <row r="9" spans="1:25">
      <c r="A9" s="594"/>
      <c r="B9" s="682">
        <v>49</v>
      </c>
      <c r="C9" s="682">
        <v>0.33542100000000002</v>
      </c>
      <c r="D9" s="682">
        <v>0.27504522000000003</v>
      </c>
      <c r="E9" s="824">
        <v>5.9129334563451747E-3</v>
      </c>
      <c r="F9" s="783">
        <v>3.3542099999999997</v>
      </c>
      <c r="G9" s="783">
        <v>5.3737955728930413E-2</v>
      </c>
      <c r="H9" s="808">
        <f>IF(HogHerd!B14=0,HogHerd!B9,0)</f>
        <v>11671051.25795</v>
      </c>
      <c r="I9" s="676">
        <f>B9*E9*H9</f>
        <v>3381497.3232387477</v>
      </c>
      <c r="J9" s="809">
        <f>F9*B9*H9</f>
        <v>1918210685.1564949</v>
      </c>
      <c r="L9" s="5"/>
      <c r="N9" s="721"/>
      <c r="O9" s="725" t="s">
        <v>729</v>
      </c>
      <c r="P9" s="698"/>
      <c r="Q9" s="698"/>
      <c r="R9" s="698"/>
      <c r="S9" s="698"/>
      <c r="T9" s="698"/>
      <c r="U9" s="698"/>
      <c r="V9" s="698"/>
      <c r="W9" s="698"/>
      <c r="X9" s="698"/>
      <c r="Y9" s="700"/>
    </row>
    <row r="10" spans="1:25">
      <c r="A10" s="594"/>
      <c r="B10" s="682">
        <v>21</v>
      </c>
      <c r="C10" s="682">
        <v>0.33542100000000002</v>
      </c>
      <c r="D10" s="682">
        <v>0.27504522000000003</v>
      </c>
      <c r="E10" s="824">
        <v>5.9129334563451747E-3</v>
      </c>
      <c r="F10" s="783">
        <v>3.3542099999999997</v>
      </c>
      <c r="G10" s="783">
        <v>5.3737955728930413E-2</v>
      </c>
      <c r="H10" s="808">
        <f>IF(HogHerd!B6=0,HogHerd!B9,0)</f>
        <v>0</v>
      </c>
      <c r="I10" s="676">
        <f>B10*E10*H10</f>
        <v>0</v>
      </c>
      <c r="J10" s="809">
        <f>F10*B10*H10</f>
        <v>0</v>
      </c>
      <c r="L10" s="5"/>
      <c r="N10" s="721"/>
      <c r="O10" s="725" t="s">
        <v>728</v>
      </c>
      <c r="P10" s="698"/>
      <c r="Q10" s="698"/>
      <c r="R10" s="698"/>
      <c r="S10" s="698"/>
      <c r="T10" s="698"/>
      <c r="U10" s="698"/>
      <c r="V10" s="698"/>
      <c r="W10" s="698"/>
      <c r="X10" s="698"/>
      <c r="Y10" s="700"/>
    </row>
    <row r="11" spans="1:25" ht="16">
      <c r="A11" s="594"/>
      <c r="B11" s="682">
        <v>10</v>
      </c>
      <c r="C11" s="682">
        <v>0.33542100000000002</v>
      </c>
      <c r="D11" s="682">
        <v>0.27504522000000003</v>
      </c>
      <c r="E11" s="824">
        <v>5.9129334563451747E-3</v>
      </c>
      <c r="F11" s="783">
        <v>3.3542099999999997</v>
      </c>
      <c r="G11" s="783">
        <v>5.3737955728930413E-2</v>
      </c>
      <c r="H11" s="808">
        <f>IF(HogHerd!B6=0,(HogHerd!B9/2),0)</f>
        <v>0</v>
      </c>
      <c r="I11" s="676">
        <f>B11*E11*H11</f>
        <v>0</v>
      </c>
      <c r="J11" s="809">
        <f>F11*B11*H11</f>
        <v>0</v>
      </c>
      <c r="L11" s="5"/>
      <c r="N11" s="839" t="s">
        <v>767</v>
      </c>
      <c r="O11" s="698"/>
      <c r="P11" s="698"/>
      <c r="Q11" s="698"/>
      <c r="R11" s="698"/>
      <c r="S11" s="698"/>
      <c r="T11" s="698"/>
      <c r="U11" s="698"/>
      <c r="V11" s="698"/>
      <c r="W11" s="698"/>
      <c r="X11" s="698"/>
      <c r="Y11" s="700"/>
    </row>
    <row r="12" spans="1:25" ht="16">
      <c r="A12" s="800" t="s">
        <v>453</v>
      </c>
      <c r="B12" s="802"/>
      <c r="C12" s="802"/>
      <c r="D12" s="802"/>
      <c r="E12" s="825"/>
      <c r="F12" s="812"/>
      <c r="G12" s="812"/>
      <c r="H12" s="813"/>
      <c r="I12" s="669"/>
      <c r="J12" s="814"/>
      <c r="L12" s="5"/>
      <c r="N12" s="839"/>
      <c r="O12" s="1285" t="s">
        <v>443</v>
      </c>
      <c r="P12" s="1454"/>
      <c r="Q12" s="1454"/>
      <c r="R12" s="1454"/>
      <c r="S12" s="1454"/>
      <c r="T12" s="1454"/>
      <c r="U12" s="1454"/>
      <c r="V12" s="1454"/>
      <c r="W12" s="1454"/>
      <c r="X12" s="1454"/>
      <c r="Y12" s="1455"/>
    </row>
    <row r="13" spans="1:25">
      <c r="A13" s="594"/>
      <c r="B13" s="682">
        <v>116</v>
      </c>
      <c r="C13" s="682">
        <v>0.98088373380373162</v>
      </c>
      <c r="D13" s="682">
        <v>0.78470698704298503</v>
      </c>
      <c r="E13" s="824">
        <f>0.0132498474017461*0.75</f>
        <v>9.9373855513095743E-3</v>
      </c>
      <c r="F13" s="783">
        <v>9.8088373380373159</v>
      </c>
      <c r="G13" s="783">
        <v>0.15714784304612081</v>
      </c>
      <c r="H13" s="808">
        <f>HogHerd!B9</f>
        <v>11671051.25795</v>
      </c>
      <c r="I13" s="676">
        <f>B13*E13*H13</f>
        <v>13453649.392164109</v>
      </c>
      <c r="J13" s="809">
        <f>F13*B13*H13</f>
        <v>13279615428.962772</v>
      </c>
      <c r="L13" s="5"/>
      <c r="N13" s="839"/>
      <c r="O13" s="1454"/>
      <c r="P13" s="1454"/>
      <c r="Q13" s="1454"/>
      <c r="R13" s="1454"/>
      <c r="S13" s="1454"/>
      <c r="T13" s="1454"/>
      <c r="U13" s="1454"/>
      <c r="V13" s="1454"/>
      <c r="W13" s="1454"/>
      <c r="X13" s="1454"/>
      <c r="Y13" s="1455"/>
    </row>
    <row r="14" spans="1:25">
      <c r="A14" s="594"/>
      <c r="B14" s="682"/>
      <c r="C14" s="682"/>
      <c r="D14" s="682"/>
      <c r="E14" s="824"/>
      <c r="F14" s="783"/>
      <c r="G14" s="783"/>
      <c r="H14" s="808"/>
      <c r="I14" s="676"/>
      <c r="J14" s="809"/>
      <c r="L14" s="5"/>
      <c r="N14" s="839"/>
      <c r="O14" s="1454"/>
      <c r="P14" s="1454"/>
      <c r="Q14" s="1454"/>
      <c r="R14" s="1454"/>
      <c r="S14" s="1454"/>
      <c r="T14" s="1454"/>
      <c r="U14" s="1454"/>
      <c r="V14" s="1454"/>
      <c r="W14" s="1454"/>
      <c r="X14" s="1454"/>
      <c r="Y14" s="1455"/>
    </row>
    <row r="15" spans="1:25" ht="16">
      <c r="A15" s="800" t="s">
        <v>451</v>
      </c>
      <c r="B15" s="802"/>
      <c r="C15" s="802"/>
      <c r="D15" s="802"/>
      <c r="E15" s="825"/>
      <c r="F15" s="812"/>
      <c r="G15" s="812"/>
      <c r="H15" s="813"/>
      <c r="I15" s="669"/>
      <c r="J15" s="814"/>
      <c r="L15" s="5"/>
      <c r="N15" s="839" t="s">
        <v>452</v>
      </c>
      <c r="O15" s="698"/>
      <c r="P15" s="698"/>
      <c r="Q15" s="698"/>
      <c r="R15" s="698"/>
      <c r="S15" s="698"/>
      <c r="T15" s="698"/>
      <c r="U15" s="698"/>
      <c r="V15" s="698"/>
      <c r="W15" s="698"/>
      <c r="X15" s="698"/>
      <c r="Y15" s="700"/>
    </row>
    <row r="16" spans="1:25" ht="15" thickBot="1">
      <c r="A16" s="594"/>
      <c r="B16" s="682">
        <v>365</v>
      </c>
      <c r="C16" s="682">
        <v>1.1931931498776427</v>
      </c>
      <c r="D16" s="682">
        <v>0.97841838289966676</v>
      </c>
      <c r="E16" s="824">
        <v>1.2704711951039416E-2</v>
      </c>
      <c r="F16" s="783">
        <v>11.931931498776425</v>
      </c>
      <c r="G16" s="783">
        <v>0.19082590461761761</v>
      </c>
      <c r="H16" s="808">
        <f>HogHerd!B8</f>
        <v>291350.152</v>
      </c>
      <c r="I16" s="676">
        <f>B16*E16*H16</f>
        <v>1351054.7116888158</v>
      </c>
      <c r="J16" s="809">
        <f>F16*B16*H16</f>
        <v>1268875070.3750663</v>
      </c>
      <c r="L16" s="5"/>
      <c r="N16" s="702"/>
      <c r="O16" s="703"/>
      <c r="P16" s="703"/>
      <c r="Q16" s="703"/>
      <c r="R16" s="703"/>
      <c r="S16" s="703"/>
      <c r="T16" s="703"/>
      <c r="U16" s="703"/>
      <c r="V16" s="703"/>
      <c r="W16" s="703"/>
      <c r="X16" s="703"/>
      <c r="Y16" s="704"/>
    </row>
    <row r="17" spans="1:12">
      <c r="A17" s="594"/>
      <c r="B17" s="682"/>
      <c r="C17" s="682"/>
      <c r="D17" s="682"/>
      <c r="E17" s="824"/>
      <c r="F17" s="783"/>
      <c r="G17" s="783"/>
      <c r="H17" s="808"/>
      <c r="I17" s="676"/>
      <c r="J17" s="809"/>
      <c r="L17" s="5"/>
    </row>
    <row r="18" spans="1:12">
      <c r="A18" s="800" t="s">
        <v>450</v>
      </c>
      <c r="B18" s="802"/>
      <c r="C18" s="802"/>
      <c r="D18" s="802"/>
      <c r="E18" s="825"/>
      <c r="F18" s="812"/>
      <c r="G18" s="812"/>
      <c r="H18" s="813"/>
      <c r="I18" s="669"/>
      <c r="J18" s="814"/>
      <c r="L18" s="5"/>
    </row>
    <row r="19" spans="1:12">
      <c r="A19" s="594" t="s">
        <v>447</v>
      </c>
      <c r="B19" s="682">
        <v>365</v>
      </c>
      <c r="C19" s="682">
        <v>0.85058812565642938</v>
      </c>
      <c r="D19" s="682">
        <v>0.72299990680796489</v>
      </c>
      <c r="E19" s="824">
        <v>2.0460698692192917E-2</v>
      </c>
      <c r="F19" s="783">
        <v>8.5058812565642938</v>
      </c>
      <c r="G19" s="783">
        <v>0.13587406620702161</v>
      </c>
      <c r="H19" s="808">
        <f>(HogHerd!B7*(10/12))+HogHerd!B17</f>
        <v>256883.93533333336</v>
      </c>
      <c r="I19" s="676">
        <f>B19*E19*H19</f>
        <v>1918449.0518978378</v>
      </c>
      <c r="J19" s="809">
        <f>F19*B19*H19</f>
        <v>797533851.49246013</v>
      </c>
      <c r="L19" s="5"/>
    </row>
    <row r="20" spans="1:12" ht="15" thickBot="1">
      <c r="A20" s="826" t="s">
        <v>458</v>
      </c>
      <c r="B20" s="827">
        <v>365</v>
      </c>
      <c r="C20" s="827">
        <v>2.4138773930752437</v>
      </c>
      <c r="D20" s="827">
        <v>2.1724896537677192</v>
      </c>
      <c r="E20" s="828">
        <v>4.4202726840028281E-2</v>
      </c>
      <c r="F20" s="829">
        <v>24.138773930752436</v>
      </c>
      <c r="G20" s="829">
        <v>0.38654478114850749</v>
      </c>
      <c r="H20" s="830">
        <f>HogHerd!B7*(2/10)</f>
        <v>61135.7696</v>
      </c>
      <c r="I20" s="756">
        <f>B20*E20*H20</f>
        <v>986364.21918105229</v>
      </c>
      <c r="J20" s="831">
        <f>F20*B20*H20</f>
        <v>538646020.33179295</v>
      </c>
      <c r="L20" s="5"/>
    </row>
    <row r="21" spans="1:12">
      <c r="A21" s="63"/>
      <c r="B21" s="575"/>
      <c r="C21" s="575"/>
      <c r="D21" s="575"/>
      <c r="E21" s="583"/>
      <c r="F21" s="583"/>
      <c r="G21" s="583"/>
      <c r="H21" s="618"/>
      <c r="I21" s="563"/>
      <c r="J21" s="563"/>
      <c r="L21" s="5"/>
    </row>
    <row r="22" spans="1:12">
      <c r="A22" s="63"/>
      <c r="B22" s="575"/>
      <c r="C22" s="63"/>
      <c r="D22" s="63"/>
      <c r="E22" s="63"/>
      <c r="F22" s="63"/>
      <c r="G22" s="832" t="s">
        <v>32</v>
      </c>
      <c r="H22" s="833"/>
      <c r="I22" s="834">
        <f>SUM(I9:I21)</f>
        <v>21091014.698170565</v>
      </c>
      <c r="J22" s="834">
        <f>SUM(J9:J21)</f>
        <v>17802881056.318588</v>
      </c>
    </row>
    <row r="23" spans="1:12">
      <c r="B23" s="575"/>
      <c r="C23" s="63"/>
      <c r="D23" s="63"/>
      <c r="E23" s="63"/>
      <c r="F23" s="63"/>
      <c r="G23" s="63"/>
      <c r="H23" s="575"/>
      <c r="I23" s="770" t="s">
        <v>765</v>
      </c>
      <c r="J23" s="870" t="s">
        <v>766</v>
      </c>
    </row>
  </sheetData>
  <sheetProtection password="A4FF" sheet="1" objects="1" scenarios="1"/>
  <mergeCells count="3">
    <mergeCell ref="C6:F6"/>
    <mergeCell ref="O12:Y14"/>
    <mergeCell ref="N5:Y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rgb="FFFF99FF"/>
    <pageSetUpPr autoPageBreaks="0"/>
  </sheetPr>
  <dimension ref="A1:W22"/>
  <sheetViews>
    <sheetView workbookViewId="0">
      <selection activeCell="G10" sqref="G10"/>
    </sheetView>
  </sheetViews>
  <sheetFormatPr baseColWidth="10" defaultColWidth="8.83203125" defaultRowHeight="14" x14ac:dyDescent="0"/>
  <cols>
    <col min="1" max="1" width="39" customWidth="1"/>
    <col min="2" max="2" width="29.33203125" customWidth="1"/>
    <col min="3" max="3" width="27.83203125" customWidth="1"/>
    <col min="4" max="4" width="28.33203125" customWidth="1"/>
    <col min="5" max="5" width="50" customWidth="1"/>
    <col min="6" max="6" width="12" customWidth="1"/>
  </cols>
  <sheetData>
    <row r="1" spans="1:23" ht="19" thickBot="1">
      <c r="A1" s="748" t="s">
        <v>813</v>
      </c>
      <c r="B1" s="679" t="s">
        <v>1090</v>
      </c>
      <c r="C1" s="679" t="s">
        <v>699</v>
      </c>
      <c r="D1" s="679" t="s">
        <v>1092</v>
      </c>
    </row>
    <row r="2" spans="1:23">
      <c r="A2" s="876" t="s">
        <v>366</v>
      </c>
      <c r="B2" s="1309" t="s">
        <v>812</v>
      </c>
      <c r="C2" s="1310"/>
      <c r="D2" s="1311"/>
      <c r="G2" s="718" t="s">
        <v>650</v>
      </c>
      <c r="H2" s="719"/>
      <c r="I2" s="719"/>
      <c r="J2" s="719"/>
      <c r="K2" s="719"/>
      <c r="L2" s="719"/>
      <c r="M2" s="719"/>
      <c r="N2" s="719"/>
      <c r="O2" s="719"/>
      <c r="P2" s="719"/>
      <c r="Q2" s="719"/>
      <c r="R2" s="719"/>
      <c r="S2" s="719"/>
      <c r="T2" s="719"/>
      <c r="U2" s="719"/>
      <c r="V2" s="719"/>
      <c r="W2" s="699"/>
    </row>
    <row r="3" spans="1:23">
      <c r="A3" s="63" t="s">
        <v>787</v>
      </c>
      <c r="B3" s="731">
        <f>Swine_Nutrient!L66-Swine_Nutrient!L65</f>
        <v>42107833.725825757</v>
      </c>
      <c r="C3" s="731"/>
      <c r="D3" s="731"/>
      <c r="E3" s="5"/>
      <c r="G3" s="721"/>
      <c r="H3" s="698"/>
      <c r="I3" s="698"/>
      <c r="J3" s="698"/>
      <c r="K3" s="698"/>
      <c r="L3" s="698"/>
      <c r="M3" s="698"/>
      <c r="N3" s="698"/>
      <c r="O3" s="698"/>
      <c r="P3" s="698"/>
      <c r="Q3" s="698"/>
      <c r="R3" s="698"/>
      <c r="S3" s="698"/>
      <c r="T3" s="698"/>
      <c r="U3" s="698"/>
      <c r="V3" s="698"/>
      <c r="W3" s="700"/>
    </row>
    <row r="4" spans="1:23">
      <c r="A4" s="63" t="s">
        <v>788</v>
      </c>
      <c r="B4" s="881">
        <f>Swine_Nutrient!L55</f>
        <v>3133129.9609896503</v>
      </c>
      <c r="C4" s="731"/>
      <c r="D4" s="731"/>
      <c r="E4" s="5"/>
      <c r="G4" s="849"/>
      <c r="H4" s="856"/>
      <c r="I4" s="857"/>
      <c r="J4" s="857"/>
      <c r="K4" s="857"/>
      <c r="L4" s="857"/>
      <c r="M4" s="857"/>
      <c r="N4" s="857"/>
      <c r="O4" s="857"/>
      <c r="P4" s="857"/>
      <c r="Q4" s="857"/>
      <c r="R4" s="857"/>
      <c r="S4" s="698"/>
      <c r="T4" s="698"/>
      <c r="U4" s="698"/>
      <c r="V4" s="698"/>
      <c r="W4" s="700"/>
    </row>
    <row r="5" spans="1:23">
      <c r="A5" s="63" t="s">
        <v>360</v>
      </c>
      <c r="B5" s="731"/>
      <c r="C5" s="1005">
        <f>SwineManure!I22</f>
        <v>21091014.698170565</v>
      </c>
      <c r="D5" s="731"/>
      <c r="E5" s="5"/>
      <c r="G5" s="849" t="s">
        <v>789</v>
      </c>
      <c r="H5" s="857"/>
      <c r="I5" s="857"/>
      <c r="J5" s="857"/>
      <c r="K5" s="857"/>
      <c r="L5" s="857"/>
      <c r="M5" s="857"/>
      <c r="N5" s="857"/>
      <c r="O5" s="857"/>
      <c r="P5" s="857"/>
      <c r="Q5" s="857"/>
      <c r="R5" s="857"/>
      <c r="S5" s="698"/>
      <c r="T5" s="698"/>
      <c r="U5" s="698"/>
      <c r="V5" s="698"/>
      <c r="W5" s="700"/>
    </row>
    <row r="6" spans="1:23">
      <c r="A6" s="63" t="s">
        <v>457</v>
      </c>
      <c r="B6" s="731"/>
      <c r="C6" s="1005"/>
      <c r="D6" s="731">
        <f>((HogHerd!B10*269*C19)+(HogHerd!B24*320*C16))</f>
        <v>19199324.445331793</v>
      </c>
      <c r="E6" s="5"/>
      <c r="G6" s="858"/>
      <c r="H6" s="857"/>
      <c r="I6" s="857"/>
      <c r="J6" s="857"/>
      <c r="K6" s="857"/>
      <c r="L6" s="857"/>
      <c r="M6" s="857"/>
      <c r="N6" s="857"/>
      <c r="O6" s="857"/>
      <c r="P6" s="857"/>
      <c r="Q6" s="857"/>
      <c r="R6" s="857"/>
      <c r="S6" s="698"/>
      <c r="T6" s="698"/>
      <c r="U6" s="698"/>
      <c r="V6" s="698"/>
      <c r="W6" s="700"/>
    </row>
    <row r="7" spans="1:23">
      <c r="A7" s="63" t="s">
        <v>793</v>
      </c>
      <c r="B7" s="731">
        <f>((15*SwineManure!H11)+(SwineManure!H11*33))*C17</f>
        <v>0</v>
      </c>
      <c r="C7" s="1005"/>
      <c r="D7" s="731"/>
      <c r="E7" s="5"/>
      <c r="G7" s="858" t="s">
        <v>786</v>
      </c>
      <c r="H7" s="856"/>
      <c r="I7" s="856"/>
      <c r="J7" s="856"/>
      <c r="K7" s="856"/>
      <c r="L7" s="856"/>
      <c r="M7" s="856"/>
      <c r="N7" s="856"/>
      <c r="O7" s="856"/>
      <c r="P7" s="856"/>
      <c r="Q7" s="857"/>
      <c r="R7" s="856"/>
      <c r="S7" s="698"/>
      <c r="T7" s="698"/>
      <c r="U7" s="698"/>
      <c r="V7" s="698"/>
      <c r="W7" s="700"/>
    </row>
    <row r="8" spans="1:23">
      <c r="A8" s="63" t="s">
        <v>891</v>
      </c>
      <c r="B8" s="730"/>
      <c r="C8" s="1005"/>
      <c r="D8" s="731">
        <f>((HogHerd!B25*2.87*C16)+(HogHerd!B27-(HogHerd!B7*0.043)*13*C17)+(HogHerd!B7*0.043*319*C18))*0.6</f>
        <v>672545.59238688007</v>
      </c>
      <c r="E8" s="350"/>
      <c r="G8" s="858"/>
      <c r="H8" s="856" t="s">
        <v>785</v>
      </c>
      <c r="I8" s="856"/>
      <c r="J8" s="856"/>
      <c r="K8" s="856"/>
      <c r="L8" s="856"/>
      <c r="M8" s="856"/>
      <c r="N8" s="856"/>
      <c r="O8" s="856"/>
      <c r="P8" s="856"/>
      <c r="Q8" s="856"/>
      <c r="R8" s="856"/>
      <c r="S8" s="698"/>
      <c r="T8" s="698"/>
      <c r="U8" s="698"/>
      <c r="V8" s="698"/>
      <c r="W8" s="700"/>
    </row>
    <row r="9" spans="1:23">
      <c r="A9" s="63" t="s">
        <v>892</v>
      </c>
      <c r="B9" s="730"/>
      <c r="C9" s="1005">
        <f>((HogHerd!B25*2.87*C16)+(HogHerd!B27-(HogHerd!B7*0.043)*13*C17)+(HogHerd!B7*0.043*319*C18))*0.003</f>
        <v>3362.7279619344004</v>
      </c>
      <c r="D9" s="731"/>
      <c r="E9" s="350"/>
      <c r="G9" s="854"/>
      <c r="H9" s="855"/>
      <c r="I9" s="855"/>
      <c r="J9" s="855"/>
      <c r="K9" s="855"/>
      <c r="L9" s="855"/>
      <c r="M9" s="855"/>
      <c r="N9" s="855"/>
      <c r="O9" s="855"/>
      <c r="P9" s="855"/>
      <c r="Q9" s="855"/>
      <c r="R9" s="855"/>
      <c r="S9" s="698"/>
      <c r="T9" s="698"/>
      <c r="U9" s="698"/>
      <c r="V9" s="698"/>
      <c r="W9" s="700"/>
    </row>
    <row r="10" spans="1:23" ht="15" thickBot="1">
      <c r="A10" s="63" t="s">
        <v>893</v>
      </c>
      <c r="B10" s="730"/>
      <c r="C10" s="1005">
        <f>((HogHerd!B25*2.87*C16)+(HogHerd!B27-(HogHerd!B7*0.043)*13*C17)+(HogHerd!B7*0.043*319*C18))*0.39</f>
        <v>437154.63505147205</v>
      </c>
      <c r="D10" s="731"/>
      <c r="E10" s="350"/>
      <c r="G10" s="854" t="s">
        <v>792</v>
      </c>
      <c r="H10" s="855"/>
      <c r="I10" s="855"/>
      <c r="J10" s="855"/>
      <c r="K10" s="855"/>
      <c r="L10" s="855"/>
      <c r="M10" s="855"/>
      <c r="N10" s="855"/>
      <c r="O10" s="855"/>
      <c r="P10" s="855"/>
      <c r="Q10" s="855"/>
      <c r="R10" s="855"/>
      <c r="S10" s="698"/>
      <c r="T10" s="698"/>
      <c r="U10" s="698"/>
      <c r="V10" s="698"/>
      <c r="W10" s="700"/>
    </row>
    <row r="11" spans="1:23" ht="15" thickBot="1">
      <c r="A11" s="884" t="s">
        <v>376</v>
      </c>
      <c r="B11" s="875">
        <f>(D6+D8)/(B3)</f>
        <v>0.47192810171877286</v>
      </c>
      <c r="C11" s="882"/>
      <c r="D11" s="735"/>
      <c r="G11" s="702"/>
      <c r="H11" s="743" t="s">
        <v>760</v>
      </c>
      <c r="I11" s="703"/>
      <c r="J11" s="703"/>
      <c r="K11" s="703"/>
      <c r="L11" s="703"/>
      <c r="M11" s="703"/>
      <c r="N11" s="703"/>
      <c r="O11" s="703"/>
      <c r="P11" s="703"/>
      <c r="Q11" s="703"/>
      <c r="R11" s="703"/>
      <c r="S11" s="703"/>
      <c r="T11" s="703"/>
      <c r="U11" s="703"/>
      <c r="V11" s="703"/>
      <c r="W11" s="704"/>
    </row>
    <row r="12" spans="1:23">
      <c r="A12" s="63"/>
      <c r="B12" s="735"/>
      <c r="C12" s="735"/>
      <c r="D12" s="734">
        <f>(B3+B7)-(D8+D6+C5+C9+C10)</f>
        <v>704431.62692310661</v>
      </c>
      <c r="E12" s="164" t="s">
        <v>931</v>
      </c>
    </row>
    <row r="13" spans="1:23">
      <c r="B13" s="735"/>
      <c r="C13" s="735"/>
      <c r="D13" s="883">
        <f>D12/B3</f>
        <v>1.6729229803409754E-2</v>
      </c>
      <c r="E13" s="164" t="s">
        <v>379</v>
      </c>
    </row>
    <row r="15" spans="1:23">
      <c r="A15" s="208"/>
      <c r="B15" s="1008"/>
      <c r="C15" s="947" t="s">
        <v>456</v>
      </c>
    </row>
    <row r="16" spans="1:23">
      <c r="B16" s="1009" t="s">
        <v>454</v>
      </c>
      <c r="C16" s="923">
        <v>5.7999999999999996E-3</v>
      </c>
    </row>
    <row r="17" spans="1:4">
      <c r="B17" s="1009" t="s">
        <v>455</v>
      </c>
      <c r="C17" s="923">
        <v>7.4000000000000003E-3</v>
      </c>
    </row>
    <row r="18" spans="1:4">
      <c r="B18" s="1009" t="s">
        <v>790</v>
      </c>
      <c r="C18" s="923">
        <v>7.7999999999999996E-3</v>
      </c>
    </row>
    <row r="19" spans="1:4">
      <c r="B19" s="1010" t="s">
        <v>791</v>
      </c>
      <c r="C19" s="1006">
        <v>6.7000000000000002E-3</v>
      </c>
    </row>
    <row r="20" spans="1:4">
      <c r="A20" s="350"/>
      <c r="B20" s="603"/>
      <c r="C20" s="603"/>
      <c r="D20" s="617"/>
    </row>
    <row r="21" spans="1:4">
      <c r="B21" s="603"/>
      <c r="C21" s="603"/>
    </row>
    <row r="22" spans="1:4">
      <c r="B22" s="603"/>
      <c r="C22" s="603"/>
    </row>
  </sheetData>
  <sheetProtection password="A4FF" sheet="1" objects="1" scenarios="1"/>
  <mergeCells count="1">
    <mergeCell ref="B2:D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C44"/>
  <sheetViews>
    <sheetView workbookViewId="0">
      <selection activeCell="J20" sqref="J20"/>
    </sheetView>
  </sheetViews>
  <sheetFormatPr baseColWidth="10" defaultColWidth="8.83203125" defaultRowHeight="14" x14ac:dyDescent="0"/>
  <cols>
    <col min="1" max="1" width="48.83203125" customWidth="1"/>
    <col min="2" max="2" width="11" customWidth="1"/>
    <col min="3" max="3" width="5.5" customWidth="1"/>
    <col min="4" max="4" width="16.5" customWidth="1"/>
    <col min="5" max="5" width="11.6640625" customWidth="1"/>
    <col min="6" max="6" width="11.1640625" customWidth="1"/>
    <col min="7" max="7" width="14.33203125" customWidth="1"/>
    <col min="8" max="8" width="31" style="562" customWidth="1"/>
    <col min="18" max="18" width="10.5" customWidth="1"/>
  </cols>
  <sheetData>
    <row r="1" spans="1:29" ht="30" customHeight="1" thickBot="1">
      <c r="A1" s="748" t="s">
        <v>730</v>
      </c>
      <c r="B1" s="164"/>
      <c r="C1" s="164"/>
      <c r="D1" s="572" t="s">
        <v>731</v>
      </c>
      <c r="E1" s="572" t="s">
        <v>733</v>
      </c>
      <c r="F1" s="572" t="s">
        <v>734</v>
      </c>
      <c r="G1" s="572" t="s">
        <v>732</v>
      </c>
      <c r="H1" s="572" t="s">
        <v>736</v>
      </c>
    </row>
    <row r="2" spans="1:29">
      <c r="A2" t="s">
        <v>306</v>
      </c>
      <c r="D2" s="749">
        <v>0.125</v>
      </c>
      <c r="E2" s="566">
        <v>6.9999999999999993E-3</v>
      </c>
      <c r="F2" s="566">
        <v>6.5000000000000006E-3</v>
      </c>
      <c r="G2" s="566">
        <v>0.18</v>
      </c>
      <c r="H2" s="587" t="s">
        <v>737</v>
      </c>
      <c r="K2" s="718" t="s">
        <v>650</v>
      </c>
      <c r="L2" s="719"/>
      <c r="M2" s="719"/>
      <c r="N2" s="719"/>
      <c r="O2" s="719"/>
      <c r="P2" s="719"/>
      <c r="Q2" s="719"/>
      <c r="R2" s="719"/>
      <c r="S2" s="719"/>
      <c r="T2" s="719"/>
      <c r="U2" s="719"/>
      <c r="V2" s="719"/>
      <c r="W2" s="719"/>
      <c r="X2" s="719"/>
      <c r="Y2" s="719"/>
      <c r="Z2" s="719"/>
      <c r="AA2" s="719"/>
      <c r="AB2" s="719"/>
      <c r="AC2" s="699"/>
    </row>
    <row r="3" spans="1:29">
      <c r="A3" t="s">
        <v>322</v>
      </c>
      <c r="D3" s="566">
        <v>0.77900000000000003</v>
      </c>
      <c r="E3" s="566">
        <v>2.9999999999999997E-4</v>
      </c>
      <c r="F3" s="566">
        <v>6.0599999999999994E-2</v>
      </c>
      <c r="G3" s="566">
        <v>8.5000000000000006E-2</v>
      </c>
      <c r="H3" s="587" t="s">
        <v>737</v>
      </c>
      <c r="K3" s="721"/>
      <c r="L3" s="698"/>
      <c r="M3" s="698"/>
      <c r="N3" s="698"/>
      <c r="O3" s="698"/>
      <c r="P3" s="698"/>
      <c r="Q3" s="698"/>
      <c r="R3" s="698"/>
      <c r="S3" s="698"/>
      <c r="T3" s="698"/>
      <c r="U3" s="698"/>
      <c r="V3" s="698"/>
      <c r="W3" s="698"/>
      <c r="X3" s="698"/>
      <c r="Y3" s="698"/>
      <c r="Z3" s="698"/>
      <c r="AA3" s="698"/>
      <c r="AB3" s="698"/>
      <c r="AC3" s="700"/>
    </row>
    <row r="4" spans="1:29">
      <c r="A4" t="s">
        <v>309</v>
      </c>
      <c r="D4" s="566">
        <v>0.88099999999999989</v>
      </c>
      <c r="E4" s="566">
        <v>3.0000000000000001E-3</v>
      </c>
      <c r="F4" s="566">
        <v>4.1999999999999997E-3</v>
      </c>
      <c r="G4" s="566">
        <v>9.4E-2</v>
      </c>
      <c r="H4" s="587" t="s">
        <v>737</v>
      </c>
      <c r="K4" s="721" t="s">
        <v>780</v>
      </c>
      <c r="L4" s="698"/>
      <c r="M4" s="698"/>
      <c r="N4" s="698"/>
      <c r="O4" s="698"/>
      <c r="P4" s="698"/>
      <c r="Q4" s="698"/>
      <c r="R4" s="698"/>
      <c r="S4" s="698"/>
      <c r="T4" s="698"/>
      <c r="U4" s="698"/>
      <c r="V4" s="698"/>
      <c r="W4" s="698"/>
      <c r="X4" s="698"/>
      <c r="Y4" s="698"/>
      <c r="Z4" s="698"/>
      <c r="AA4" s="698"/>
      <c r="AB4" s="698"/>
      <c r="AC4" s="700"/>
    </row>
    <row r="5" spans="1:29">
      <c r="A5" t="s">
        <v>310</v>
      </c>
      <c r="D5" s="566">
        <v>0.9</v>
      </c>
      <c r="E5" s="566">
        <v>4.0000000000000001E-3</v>
      </c>
      <c r="F5" s="566">
        <v>5.1999999999999998E-3</v>
      </c>
      <c r="G5" s="566">
        <v>0.13200000000000001</v>
      </c>
      <c r="H5" s="587" t="s">
        <v>737</v>
      </c>
      <c r="K5" s="1288" t="s">
        <v>735</v>
      </c>
      <c r="L5" s="1321"/>
      <c r="M5" s="1321"/>
      <c r="N5" s="1321"/>
      <c r="O5" s="1321"/>
      <c r="P5" s="1321"/>
      <c r="Q5" s="1321"/>
      <c r="R5" s="1321"/>
      <c r="S5" s="698"/>
      <c r="T5" s="698"/>
      <c r="U5" s="698"/>
      <c r="V5" s="698"/>
      <c r="W5" s="698"/>
      <c r="X5" s="698"/>
      <c r="Y5" s="698"/>
      <c r="Z5" s="698"/>
      <c r="AA5" s="698"/>
      <c r="AB5" s="698"/>
      <c r="AC5" s="700"/>
    </row>
    <row r="6" spans="1:29">
      <c r="A6" t="s">
        <v>311</v>
      </c>
      <c r="D6" s="566">
        <v>0.89500000000000002</v>
      </c>
      <c r="E6" s="566">
        <v>7.0000000000000001E-3</v>
      </c>
      <c r="F6" s="566">
        <v>2.41E-2</v>
      </c>
      <c r="G6" s="566">
        <v>0.53799999999999992</v>
      </c>
      <c r="H6" s="587" t="s">
        <v>737</v>
      </c>
      <c r="K6" s="1288"/>
      <c r="L6" s="1321"/>
      <c r="M6" s="1321"/>
      <c r="N6" s="1321"/>
      <c r="O6" s="1321"/>
      <c r="P6" s="1321"/>
      <c r="Q6" s="1321"/>
      <c r="R6" s="1321"/>
      <c r="S6" s="698"/>
      <c r="T6" s="698"/>
      <c r="U6" s="698"/>
      <c r="V6" s="698"/>
      <c r="W6" s="698"/>
      <c r="X6" s="698"/>
      <c r="Y6" s="698"/>
      <c r="Z6" s="698"/>
      <c r="AA6" s="698"/>
      <c r="AB6" s="698"/>
      <c r="AC6" s="700"/>
    </row>
    <row r="7" spans="1:29">
      <c r="A7" t="s">
        <v>312</v>
      </c>
      <c r="D7" s="566">
        <v>1</v>
      </c>
      <c r="E7" s="566">
        <v>0.193</v>
      </c>
      <c r="F7" s="566">
        <v>7.000000000000001E-4</v>
      </c>
      <c r="G7" s="566">
        <v>0</v>
      </c>
      <c r="H7" s="587" t="s">
        <v>737</v>
      </c>
      <c r="K7" s="1288"/>
      <c r="L7" s="1321"/>
      <c r="M7" s="1321"/>
      <c r="N7" s="1321"/>
      <c r="O7" s="1321"/>
      <c r="P7" s="1321"/>
      <c r="Q7" s="1321"/>
      <c r="R7" s="1321"/>
      <c r="S7" s="698"/>
      <c r="T7" s="698"/>
      <c r="U7" s="698"/>
      <c r="V7" s="698"/>
      <c r="W7" s="698"/>
      <c r="X7" s="698"/>
      <c r="Y7" s="698"/>
      <c r="Z7" s="698"/>
      <c r="AA7" s="698"/>
      <c r="AB7" s="698"/>
      <c r="AC7" s="700"/>
    </row>
    <row r="8" spans="1:29">
      <c r="A8" t="s">
        <v>313</v>
      </c>
      <c r="D8" s="566">
        <v>0.83799999999999997</v>
      </c>
      <c r="E8" s="566">
        <v>2.8999999999999998E-3</v>
      </c>
      <c r="F8" s="566">
        <v>2.1299999999999999E-2</v>
      </c>
      <c r="G8" s="566">
        <v>0.13300000000000001</v>
      </c>
      <c r="H8" s="587" t="s">
        <v>737</v>
      </c>
      <c r="K8" s="1288"/>
      <c r="L8" s="1321"/>
      <c r="M8" s="1321"/>
      <c r="N8" s="1321"/>
      <c r="O8" s="1321"/>
      <c r="P8" s="1321"/>
      <c r="Q8" s="1321"/>
      <c r="R8" s="1321"/>
      <c r="S8" s="698"/>
      <c r="T8" s="698"/>
      <c r="U8" s="698"/>
      <c r="V8" s="698"/>
      <c r="W8" s="698"/>
      <c r="X8" s="698"/>
      <c r="Y8" s="698"/>
      <c r="Z8" s="698"/>
      <c r="AA8" s="698"/>
      <c r="AB8" s="698"/>
      <c r="AC8" s="700"/>
    </row>
    <row r="9" spans="1:29">
      <c r="A9" t="s">
        <v>314</v>
      </c>
      <c r="D9" s="566">
        <v>0.88099999999999989</v>
      </c>
      <c r="E9" s="566">
        <v>3.0000000000000001E-3</v>
      </c>
      <c r="F9" s="566">
        <v>4.1999999999999997E-3</v>
      </c>
      <c r="G9" s="566">
        <v>9.0999999999999998E-2</v>
      </c>
      <c r="H9" s="587" t="s">
        <v>737</v>
      </c>
      <c r="K9" s="721" t="s">
        <v>746</v>
      </c>
      <c r="L9" s="698"/>
      <c r="M9" s="698"/>
      <c r="N9" s="698"/>
      <c r="O9" s="698"/>
      <c r="P9" s="698"/>
      <c r="Q9" s="698"/>
      <c r="R9" s="698"/>
      <c r="S9" s="698"/>
      <c r="T9" s="698"/>
      <c r="U9" s="698"/>
      <c r="V9" s="698"/>
      <c r="W9" s="698"/>
      <c r="X9" s="698"/>
      <c r="Y9" s="698"/>
      <c r="Z9" s="698"/>
      <c r="AA9" s="698"/>
      <c r="AB9" s="698"/>
      <c r="AC9" s="700"/>
    </row>
    <row r="10" spans="1:29">
      <c r="A10" t="s">
        <v>315</v>
      </c>
      <c r="D10" s="566">
        <v>0.90900000000000003</v>
      </c>
      <c r="E10" s="566">
        <v>1.7000000000000001E-3</v>
      </c>
      <c r="F10" s="566">
        <v>1.5100000000000001E-2</v>
      </c>
      <c r="G10" s="566">
        <v>0.13900000000000001</v>
      </c>
      <c r="H10" s="587" t="s">
        <v>737</v>
      </c>
      <c r="K10" s="721" t="s">
        <v>738</v>
      </c>
      <c r="L10" s="698"/>
      <c r="M10" s="698"/>
      <c r="N10" s="698"/>
      <c r="O10" s="698"/>
      <c r="P10" s="698"/>
      <c r="Q10" s="698"/>
      <c r="R10" s="698"/>
      <c r="S10" s="698"/>
      <c r="T10" s="698"/>
      <c r="U10" s="698"/>
      <c r="V10" s="698"/>
      <c r="W10" s="698"/>
      <c r="X10" s="698"/>
      <c r="Y10" s="698"/>
      <c r="Z10" s="698"/>
      <c r="AA10" s="698"/>
      <c r="AB10" s="698"/>
      <c r="AC10" s="700"/>
    </row>
    <row r="11" spans="1:29">
      <c r="A11" t="s">
        <v>316</v>
      </c>
      <c r="D11" s="566">
        <v>1</v>
      </c>
      <c r="E11" s="566">
        <v>2.0000000000000001E-4</v>
      </c>
      <c r="F11" s="566">
        <v>1.1999999999999999E-3</v>
      </c>
      <c r="G11" s="566">
        <v>0</v>
      </c>
      <c r="H11" s="587" t="s">
        <v>737</v>
      </c>
      <c r="K11" s="721" t="s">
        <v>744</v>
      </c>
      <c r="L11" s="698"/>
      <c r="M11" s="698"/>
      <c r="N11" s="698"/>
      <c r="O11" s="698"/>
      <c r="P11" s="698"/>
      <c r="Q11" s="698"/>
      <c r="R11" s="698"/>
      <c r="S11" s="698"/>
      <c r="T11" s="698"/>
      <c r="U11" s="698"/>
      <c r="V11" s="698"/>
      <c r="W11" s="698"/>
      <c r="X11" s="698"/>
      <c r="Y11" s="698"/>
      <c r="Z11" s="698"/>
      <c r="AA11" s="698"/>
      <c r="AB11" s="698"/>
      <c r="AC11" s="700"/>
    </row>
    <row r="12" spans="1:29">
      <c r="A12" t="s">
        <v>317</v>
      </c>
      <c r="D12" s="566">
        <v>0</v>
      </c>
      <c r="E12" s="566">
        <v>0</v>
      </c>
      <c r="F12" s="566">
        <v>0</v>
      </c>
      <c r="G12" s="566">
        <v>0</v>
      </c>
      <c r="H12" s="587" t="s">
        <v>737</v>
      </c>
      <c r="K12" s="721" t="s">
        <v>742</v>
      </c>
      <c r="L12" s="698"/>
      <c r="M12" s="698"/>
      <c r="N12" s="698"/>
      <c r="O12" s="698"/>
      <c r="P12" s="698"/>
      <c r="Q12" s="698"/>
      <c r="R12" s="698"/>
      <c r="S12" s="698"/>
      <c r="T12" s="698"/>
      <c r="U12" s="698"/>
      <c r="V12" s="698"/>
      <c r="W12" s="698"/>
      <c r="X12" s="698"/>
      <c r="Y12" s="698"/>
      <c r="Z12" s="698"/>
      <c r="AA12" s="698"/>
      <c r="AB12" s="698"/>
      <c r="AC12" s="700"/>
    </row>
    <row r="13" spans="1:29">
      <c r="A13" t="s">
        <v>318</v>
      </c>
      <c r="D13" s="566">
        <v>0.83939999999999992</v>
      </c>
      <c r="E13" s="566">
        <v>3.0000000000000001E-3</v>
      </c>
      <c r="F13" s="566">
        <v>2.4500000000000001E-2</v>
      </c>
      <c r="G13" s="566">
        <v>0.20800000000000002</v>
      </c>
      <c r="H13" s="587" t="s">
        <v>737</v>
      </c>
      <c r="K13" s="721" t="s">
        <v>740</v>
      </c>
      <c r="L13" s="698"/>
      <c r="M13" s="698"/>
      <c r="N13" s="698"/>
      <c r="O13" s="698"/>
      <c r="P13" s="698"/>
      <c r="Q13" s="698"/>
      <c r="R13" s="698"/>
      <c r="S13" s="698"/>
      <c r="T13" s="698"/>
      <c r="U13" s="698"/>
      <c r="V13" s="698"/>
      <c r="W13" s="698"/>
      <c r="X13" s="698"/>
      <c r="Y13" s="698"/>
      <c r="Z13" s="698"/>
      <c r="AA13" s="698"/>
      <c r="AB13" s="698"/>
      <c r="AC13" s="700"/>
    </row>
    <row r="14" spans="1:29" ht="15" thickBot="1">
      <c r="A14" t="s">
        <v>319</v>
      </c>
      <c r="D14" s="566">
        <v>0.91</v>
      </c>
      <c r="E14" s="566">
        <v>6.4000000000000003E-3</v>
      </c>
      <c r="F14" s="566">
        <v>1.9900000000000001E-2</v>
      </c>
      <c r="G14" s="566">
        <v>0.43</v>
      </c>
      <c r="H14" s="587" t="s">
        <v>737</v>
      </c>
      <c r="K14" s="702"/>
      <c r="L14" s="703"/>
      <c r="M14" s="703"/>
      <c r="N14" s="703"/>
      <c r="O14" s="703"/>
      <c r="P14" s="703"/>
      <c r="Q14" s="703"/>
      <c r="R14" s="703"/>
      <c r="S14" s="703"/>
      <c r="T14" s="703"/>
      <c r="U14" s="703"/>
      <c r="V14" s="703"/>
      <c r="W14" s="703"/>
      <c r="X14" s="703"/>
      <c r="Y14" s="703"/>
      <c r="Z14" s="703"/>
      <c r="AA14" s="703"/>
      <c r="AB14" s="703"/>
      <c r="AC14" s="704"/>
    </row>
    <row r="15" spans="1:29">
      <c r="A15" t="s">
        <v>320</v>
      </c>
      <c r="D15" s="566">
        <v>0.90200000000000002</v>
      </c>
      <c r="E15" s="566">
        <v>8.3000000000000001E-3</v>
      </c>
      <c r="F15" s="566">
        <v>1.1000000000000001E-2</v>
      </c>
      <c r="G15" s="566">
        <v>0.29699999999999999</v>
      </c>
      <c r="H15" s="587" t="s">
        <v>737</v>
      </c>
    </row>
    <row r="16" spans="1:29">
      <c r="A16" t="s">
        <v>328</v>
      </c>
      <c r="D16" s="566">
        <v>1</v>
      </c>
      <c r="E16" s="566">
        <v>0</v>
      </c>
      <c r="F16" s="566">
        <v>0</v>
      </c>
      <c r="G16" s="566">
        <v>0</v>
      </c>
      <c r="H16" s="587" t="s">
        <v>737</v>
      </c>
    </row>
    <row r="17" spans="1:8">
      <c r="A17" t="s">
        <v>282</v>
      </c>
      <c r="D17" s="566">
        <v>0.35100000000000003</v>
      </c>
      <c r="E17" s="566">
        <v>2.5999999999999999E-3</v>
      </c>
      <c r="F17" s="566">
        <v>1.2E-2</v>
      </c>
      <c r="G17" s="566">
        <v>8.7999999999999995E-2</v>
      </c>
      <c r="H17" s="587" t="s">
        <v>737</v>
      </c>
    </row>
    <row r="18" spans="1:8">
      <c r="A18" t="s">
        <v>295</v>
      </c>
      <c r="D18" s="566">
        <v>0.92700000000000005</v>
      </c>
      <c r="E18" s="566">
        <v>1E-3</v>
      </c>
      <c r="F18" s="566">
        <v>1.55E-2</v>
      </c>
      <c r="G18" s="566">
        <v>4.8000000000000001E-2</v>
      </c>
      <c r="H18" s="587" t="s">
        <v>737</v>
      </c>
    </row>
    <row r="19" spans="1:8">
      <c r="A19" t="s">
        <v>286</v>
      </c>
      <c r="D19" s="566">
        <v>1</v>
      </c>
      <c r="E19" s="566">
        <v>4.0000000000000002E-4</v>
      </c>
      <c r="F19" s="566">
        <v>5.9999999999999995E-4</v>
      </c>
      <c r="G19" s="566">
        <v>0</v>
      </c>
      <c r="H19" s="587" t="s">
        <v>737</v>
      </c>
    </row>
    <row r="20" spans="1:8">
      <c r="A20" t="s">
        <v>321</v>
      </c>
      <c r="D20" s="566">
        <v>0.90099999999999991</v>
      </c>
      <c r="E20" s="566">
        <v>6.0000000000000001E-3</v>
      </c>
      <c r="F20" s="566">
        <v>1.1299999999999999E-2</v>
      </c>
      <c r="G20" s="566">
        <v>0.23499999999999999</v>
      </c>
      <c r="H20" s="587" t="s">
        <v>737</v>
      </c>
    </row>
    <row r="21" spans="1:8">
      <c r="A21" t="s">
        <v>308</v>
      </c>
      <c r="D21" s="566">
        <v>0.74299999999999999</v>
      </c>
      <c r="E21" s="566">
        <v>1E-3</v>
      </c>
      <c r="F21" s="566">
        <v>4.0099999999999997E-2</v>
      </c>
      <c r="G21" s="566">
        <v>5.7999999999999996E-2</v>
      </c>
      <c r="H21" s="587" t="s">
        <v>737</v>
      </c>
    </row>
    <row r="23" spans="1:8">
      <c r="A23" t="s">
        <v>469</v>
      </c>
      <c r="B23" s="350" t="s">
        <v>470</v>
      </c>
      <c r="D23" s="566">
        <v>0.89</v>
      </c>
      <c r="E23" s="566">
        <v>3.0000000000000001E-3</v>
      </c>
      <c r="G23" s="566">
        <v>0.15</v>
      </c>
      <c r="H23" s="617" t="s">
        <v>743</v>
      </c>
    </row>
    <row r="24" spans="1:8">
      <c r="A24" t="s">
        <v>469</v>
      </c>
      <c r="B24" s="350" t="s">
        <v>471</v>
      </c>
      <c r="D24" s="566">
        <v>0.25</v>
      </c>
      <c r="E24" s="566">
        <v>5.0000000000000001E-3</v>
      </c>
      <c r="G24" s="566">
        <v>0.19</v>
      </c>
      <c r="H24" s="617" t="s">
        <v>743</v>
      </c>
    </row>
    <row r="25" spans="1:8">
      <c r="A25" t="s">
        <v>481</v>
      </c>
      <c r="D25" s="566">
        <v>0.125</v>
      </c>
      <c r="E25" s="566">
        <v>7.0000000000000001E-3</v>
      </c>
      <c r="F25" s="566">
        <v>1.1000000000000001E-2</v>
      </c>
      <c r="G25" s="566">
        <v>0.26500000000000001</v>
      </c>
      <c r="H25" s="562" t="s">
        <v>745</v>
      </c>
    </row>
    <row r="26" spans="1:8">
      <c r="A26" t="s">
        <v>546</v>
      </c>
      <c r="D26" s="566">
        <v>0.95</v>
      </c>
      <c r="E26" s="566">
        <v>0.04</v>
      </c>
      <c r="G26" s="566">
        <v>0.57999999999999996</v>
      </c>
      <c r="H26" s="562" t="s">
        <v>741</v>
      </c>
    </row>
    <row r="27" spans="1:8">
      <c r="A27" t="s">
        <v>542</v>
      </c>
      <c r="E27" s="566">
        <v>0</v>
      </c>
      <c r="F27">
        <v>0</v>
      </c>
      <c r="G27" s="566">
        <v>0</v>
      </c>
    </row>
    <row r="28" spans="1:8">
      <c r="A28" t="s">
        <v>534</v>
      </c>
    </row>
    <row r="29" spans="1:8">
      <c r="A29" t="s">
        <v>231</v>
      </c>
      <c r="D29" s="603"/>
      <c r="E29" s="603"/>
      <c r="F29" s="603"/>
      <c r="G29" s="603"/>
    </row>
    <row r="30" spans="1:8">
      <c r="A30" t="s">
        <v>663</v>
      </c>
      <c r="D30" s="603">
        <v>0.89829999999999999</v>
      </c>
      <c r="E30" s="603">
        <v>1.3050000000000001E-2</v>
      </c>
      <c r="F30" s="603">
        <v>1.06E-2</v>
      </c>
      <c r="G30" s="603">
        <v>0.18579999999999999</v>
      </c>
      <c r="H30" s="562" t="s">
        <v>739</v>
      </c>
    </row>
    <row r="31" spans="1:8">
      <c r="A31" t="s">
        <v>664</v>
      </c>
      <c r="D31" s="603">
        <v>0.92200000000000004</v>
      </c>
      <c r="E31" s="603">
        <v>4.7800000000000004E-3</v>
      </c>
      <c r="F31" s="603"/>
      <c r="G31" s="603">
        <v>0.13</v>
      </c>
      <c r="H31" s="562" t="s">
        <v>739</v>
      </c>
    </row>
    <row r="32" spans="1:8">
      <c r="A32" s="764"/>
      <c r="B32" s="764"/>
      <c r="C32" s="764"/>
      <c r="D32" s="764"/>
      <c r="E32" s="764"/>
      <c r="F32" s="764"/>
      <c r="G32" s="764"/>
      <c r="H32" s="765"/>
    </row>
    <row r="33" spans="1:8">
      <c r="A33" s="764"/>
      <c r="B33" s="764"/>
      <c r="C33" s="764"/>
      <c r="D33" s="764"/>
      <c r="E33" s="764"/>
      <c r="F33" s="764"/>
      <c r="G33" s="764"/>
      <c r="H33" s="765"/>
    </row>
    <row r="34" spans="1:8">
      <c r="A34" s="764"/>
      <c r="B34" s="764"/>
      <c r="C34" s="764"/>
      <c r="D34" s="764"/>
      <c r="E34" s="764"/>
      <c r="F34" s="764"/>
      <c r="G34" s="764"/>
      <c r="H34" s="765"/>
    </row>
    <row r="35" spans="1:8">
      <c r="A35" s="764"/>
      <c r="B35" s="764"/>
      <c r="C35" s="764"/>
      <c r="D35" s="764"/>
      <c r="E35" s="764"/>
      <c r="F35" s="764"/>
      <c r="G35" s="764"/>
      <c r="H35" s="765"/>
    </row>
    <row r="36" spans="1:8">
      <c r="A36" s="764"/>
      <c r="B36" s="764"/>
      <c r="C36" s="764"/>
      <c r="D36" s="764"/>
      <c r="E36" s="764"/>
      <c r="F36" s="764"/>
      <c r="G36" s="764"/>
      <c r="H36" s="765"/>
    </row>
    <row r="37" spans="1:8">
      <c r="A37" s="764"/>
      <c r="B37" s="764"/>
      <c r="C37" s="764"/>
      <c r="D37" s="764"/>
      <c r="E37" s="764"/>
      <c r="F37" s="764"/>
      <c r="G37" s="764"/>
      <c r="H37" s="765"/>
    </row>
    <row r="38" spans="1:8">
      <c r="A38" s="764"/>
      <c r="B38" s="764"/>
      <c r="C38" s="764"/>
      <c r="D38" s="764"/>
      <c r="E38" s="764"/>
      <c r="F38" s="764"/>
      <c r="G38" s="764"/>
      <c r="H38" s="765"/>
    </row>
    <row r="39" spans="1:8">
      <c r="A39" s="764"/>
      <c r="B39" s="764"/>
      <c r="C39" s="764"/>
      <c r="D39" s="764"/>
      <c r="E39" s="764"/>
      <c r="F39" s="764"/>
      <c r="G39" s="764"/>
      <c r="H39" s="765"/>
    </row>
    <row r="40" spans="1:8">
      <c r="A40" s="764"/>
      <c r="B40" s="764"/>
      <c r="C40" s="764"/>
      <c r="D40" s="764"/>
      <c r="E40" s="764"/>
      <c r="F40" s="764"/>
      <c r="G40" s="764"/>
      <c r="H40" s="765"/>
    </row>
    <row r="41" spans="1:8">
      <c r="A41" s="764"/>
      <c r="B41" s="764"/>
      <c r="C41" s="764"/>
      <c r="D41" s="764"/>
      <c r="E41" s="764"/>
      <c r="F41" s="764"/>
      <c r="G41" s="764"/>
      <c r="H41" s="765"/>
    </row>
    <row r="42" spans="1:8">
      <c r="A42" s="764"/>
      <c r="B42" s="764"/>
      <c r="C42" s="764"/>
      <c r="D42" s="764"/>
      <c r="E42" s="764"/>
      <c r="F42" s="764"/>
      <c r="G42" s="764"/>
      <c r="H42" s="765"/>
    </row>
    <row r="43" spans="1:8">
      <c r="A43" s="764"/>
      <c r="B43" s="764"/>
      <c r="C43" s="764"/>
      <c r="D43" s="764"/>
      <c r="E43" s="764"/>
      <c r="F43" s="764"/>
      <c r="G43" s="764"/>
      <c r="H43" s="765"/>
    </row>
    <row r="44" spans="1:8">
      <c r="A44" s="764"/>
      <c r="B44" s="764"/>
      <c r="C44" s="764"/>
      <c r="D44" s="764"/>
      <c r="E44" s="764"/>
      <c r="F44" s="764"/>
      <c r="G44" s="764"/>
      <c r="H44" s="765"/>
    </row>
  </sheetData>
  <sheetProtection password="A4FF" sheet="1" objects="1" scenarios="1"/>
  <mergeCells count="1">
    <mergeCell ref="K5:R8"/>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workbookViewId="0">
      <selection activeCell="E26" sqref="E26"/>
    </sheetView>
  </sheetViews>
  <sheetFormatPr baseColWidth="10" defaultColWidth="8.83203125" defaultRowHeight="14" x14ac:dyDescent="0"/>
  <cols>
    <col min="1" max="1" width="15.5" customWidth="1"/>
    <col min="2" max="2" width="14.83203125" customWidth="1"/>
    <col min="3" max="3" width="3.33203125" customWidth="1"/>
    <col min="4" max="4" width="11.6640625" customWidth="1"/>
    <col min="5" max="5" width="12.6640625" customWidth="1"/>
    <col min="6" max="6" width="16" customWidth="1"/>
    <col min="7" max="7" width="15.33203125" customWidth="1"/>
    <col min="8" max="8" width="19.1640625" customWidth="1"/>
    <col min="9" max="9" width="16.5" customWidth="1"/>
    <col min="10" max="10" width="11" customWidth="1"/>
    <col min="11" max="11" width="11.83203125" customWidth="1"/>
    <col min="12" max="12" width="8.33203125" customWidth="1"/>
    <col min="13" max="13" width="9.33203125" customWidth="1"/>
    <col min="14" max="14" width="9.6640625" customWidth="1"/>
    <col min="15" max="15" width="8.5" customWidth="1"/>
    <col min="16" max="16" width="13.83203125" customWidth="1"/>
    <col min="17" max="17" width="18.83203125" customWidth="1"/>
    <col min="18" max="18" width="23" style="208" customWidth="1"/>
    <col min="19" max="19" width="15.33203125" style="208" customWidth="1"/>
    <col min="20" max="21" width="8.83203125" style="208"/>
    <col min="44" max="44" width="9.1640625" customWidth="1"/>
    <col min="61" max="61" width="9.1640625" customWidth="1"/>
  </cols>
  <sheetData>
    <row r="1" spans="1:38" ht="24" customHeight="1">
      <c r="A1" s="1111" t="s">
        <v>278</v>
      </c>
      <c r="B1" s="1112"/>
      <c r="C1" s="63"/>
      <c r="D1" s="63"/>
      <c r="Q1" s="786"/>
      <c r="R1" s="786"/>
      <c r="S1" s="786"/>
      <c r="U1"/>
    </row>
    <row r="2" spans="1:38" ht="24" customHeight="1" thickBot="1">
      <c r="A2" s="1113" t="s">
        <v>277</v>
      </c>
      <c r="B2" s="1114"/>
      <c r="C2" s="63"/>
      <c r="D2" s="63"/>
      <c r="Q2" s="786"/>
      <c r="R2" s="786"/>
      <c r="S2" s="786"/>
      <c r="U2"/>
    </row>
    <row r="3" spans="1:38" ht="24" customHeight="1" thickBot="1">
      <c r="A3" s="1115" t="s">
        <v>987</v>
      </c>
      <c r="B3" s="1116"/>
      <c r="C3" s="1117"/>
      <c r="D3" s="63"/>
      <c r="Q3" s="786"/>
      <c r="R3" s="786"/>
      <c r="S3" s="786"/>
      <c r="U3"/>
    </row>
    <row r="4" spans="1:38" ht="24" customHeight="1" thickBot="1">
      <c r="A4" s="1118"/>
      <c r="B4" s="318"/>
      <c r="C4" s="208"/>
      <c r="D4" s="63"/>
      <c r="Q4" s="786"/>
      <c r="R4" s="786"/>
      <c r="S4" s="786"/>
      <c r="U4"/>
    </row>
    <row r="5" spans="1:38" ht="48" customHeight="1" thickTop="1" thickBot="1">
      <c r="A5" s="1119"/>
      <c r="B5" s="1120" t="s">
        <v>988</v>
      </c>
      <c r="C5" s="1121"/>
      <c r="D5" s="1122" t="s">
        <v>349</v>
      </c>
      <c r="E5" s="1122" t="s">
        <v>361</v>
      </c>
      <c r="F5" s="1122" t="s">
        <v>989</v>
      </c>
      <c r="G5" s="1122" t="s">
        <v>350</v>
      </c>
      <c r="H5" s="1122" t="s">
        <v>362</v>
      </c>
      <c r="I5" s="1122" t="s">
        <v>527</v>
      </c>
      <c r="J5" s="1122" t="s">
        <v>352</v>
      </c>
      <c r="K5" s="1122" t="s">
        <v>352</v>
      </c>
      <c r="L5" s="1282" t="s">
        <v>990</v>
      </c>
      <c r="M5" s="1283"/>
      <c r="N5" s="1122" t="s">
        <v>991</v>
      </c>
      <c r="O5" s="1122" t="s">
        <v>236</v>
      </c>
      <c r="P5" s="1123" t="s">
        <v>992</v>
      </c>
      <c r="Q5" s="1124" t="s">
        <v>993</v>
      </c>
      <c r="R5" s="1125" t="s">
        <v>994</v>
      </c>
      <c r="U5"/>
    </row>
    <row r="6" spans="1:38" ht="21.75" customHeight="1" thickBot="1">
      <c r="A6" s="1088"/>
      <c r="B6" s="1126" t="s">
        <v>174</v>
      </c>
      <c r="C6" s="1127"/>
      <c r="D6" s="1128" t="s">
        <v>351</v>
      </c>
      <c r="E6" s="1129"/>
      <c r="F6" s="1129" t="s">
        <v>995</v>
      </c>
      <c r="G6" s="1129" t="s">
        <v>996</v>
      </c>
      <c r="H6" s="1129"/>
      <c r="I6" s="1129" t="s">
        <v>997</v>
      </c>
      <c r="J6" s="1129" t="s">
        <v>998</v>
      </c>
      <c r="K6" s="1128" t="s">
        <v>351</v>
      </c>
      <c r="L6" s="1128"/>
      <c r="M6" s="1128" t="s">
        <v>999</v>
      </c>
      <c r="N6" s="1128" t="s">
        <v>1000</v>
      </c>
      <c r="O6" s="1128"/>
      <c r="P6" s="1128" t="s">
        <v>1001</v>
      </c>
      <c r="Q6" s="1130" t="s">
        <v>1002</v>
      </c>
      <c r="R6" s="1131"/>
      <c r="T6" s="718" t="s">
        <v>650</v>
      </c>
      <c r="U6" s="719"/>
      <c r="V6" s="719"/>
      <c r="W6" s="719"/>
      <c r="X6" s="719"/>
      <c r="Y6" s="719"/>
      <c r="Z6" s="719"/>
      <c r="AA6" s="719"/>
      <c r="AB6" s="719"/>
      <c r="AC6" s="719"/>
      <c r="AD6" s="719"/>
      <c r="AE6" s="719"/>
      <c r="AF6" s="719"/>
      <c r="AG6" s="719"/>
      <c r="AH6" s="719"/>
      <c r="AI6" s="719"/>
      <c r="AJ6" s="719"/>
      <c r="AK6" s="719"/>
      <c r="AL6" s="699"/>
    </row>
    <row r="7" spans="1:38">
      <c r="A7" s="1097" t="s">
        <v>1003</v>
      </c>
      <c r="B7" s="1132">
        <f>B8+B9</f>
        <v>7650000</v>
      </c>
      <c r="C7" s="1133"/>
      <c r="D7" s="1134">
        <v>22.95</v>
      </c>
      <c r="E7" s="1135">
        <v>0.72</v>
      </c>
      <c r="F7" s="1136">
        <f>B7*D7*E7</f>
        <v>126408600</v>
      </c>
      <c r="G7" s="1134">
        <v>16.34</v>
      </c>
      <c r="H7" s="1135">
        <v>0.254</v>
      </c>
      <c r="I7" s="1136">
        <f>B7*G7*2000*H7*E27</f>
        <v>55971265.4758581</v>
      </c>
      <c r="J7" s="1137"/>
      <c r="K7" s="1138">
        <v>25.44</v>
      </c>
      <c r="L7" s="1139"/>
      <c r="M7" s="1138"/>
      <c r="N7" s="1138"/>
      <c r="O7" s="867"/>
      <c r="P7" s="867"/>
      <c r="Q7" s="1140"/>
      <c r="R7" s="1141" t="s">
        <v>1004</v>
      </c>
      <c r="S7" s="783"/>
      <c r="T7" s="721"/>
      <c r="U7" s="698"/>
      <c r="V7" s="698"/>
      <c r="W7" s="698"/>
      <c r="X7" s="698"/>
      <c r="Y7" s="698"/>
      <c r="Z7" s="698"/>
      <c r="AA7" s="698"/>
      <c r="AB7" s="698"/>
      <c r="AC7" s="698"/>
      <c r="AD7" s="698"/>
      <c r="AE7" s="698"/>
      <c r="AF7" s="698"/>
      <c r="AG7" s="698"/>
      <c r="AH7" s="698"/>
      <c r="AI7" s="698"/>
      <c r="AJ7" s="698"/>
      <c r="AK7" s="698"/>
      <c r="AL7" s="700"/>
    </row>
    <row r="8" spans="1:38">
      <c r="A8" s="1142" t="s">
        <v>615</v>
      </c>
      <c r="B8" s="1143">
        <v>7300000</v>
      </c>
      <c r="C8" s="1144"/>
      <c r="D8" s="1145">
        <v>22.95</v>
      </c>
      <c r="E8" s="1146">
        <v>0.72</v>
      </c>
      <c r="F8" s="1147">
        <f t="shared" ref="F8:F20" si="0">B8*D8*E8</f>
        <v>120625200</v>
      </c>
      <c r="G8" s="1145">
        <v>16.34</v>
      </c>
      <c r="H8" s="1146">
        <v>0.254</v>
      </c>
      <c r="I8" s="1147">
        <f>B8*G8*2000*H8*E27</f>
        <v>53410488.624021456</v>
      </c>
      <c r="J8" s="1148">
        <v>3.09852E-3</v>
      </c>
      <c r="K8" s="1149">
        <v>25.44</v>
      </c>
      <c r="L8" s="1150">
        <v>177</v>
      </c>
      <c r="M8" s="1151" t="s">
        <v>354</v>
      </c>
      <c r="N8" s="1149">
        <v>56</v>
      </c>
      <c r="O8" s="1152"/>
      <c r="P8" s="1153">
        <f>B8*L8*N8*J8</f>
        <v>224201470.752</v>
      </c>
      <c r="Q8" s="1154">
        <f>P8/(F8+I8)</f>
        <v>1.2882499705928383</v>
      </c>
      <c r="R8" s="1141" t="s">
        <v>1004</v>
      </c>
      <c r="S8" s="783"/>
      <c r="T8" s="744" t="s">
        <v>1005</v>
      </c>
      <c r="U8" s="697"/>
      <c r="V8" s="697"/>
      <c r="W8" s="697"/>
      <c r="X8" s="697"/>
      <c r="Y8" s="697"/>
      <c r="Z8" s="697"/>
      <c r="AA8" s="697"/>
      <c r="AB8" s="697"/>
      <c r="AC8" s="697"/>
      <c r="AD8" s="697"/>
      <c r="AE8" s="697"/>
      <c r="AF8" s="697"/>
      <c r="AG8" s="698"/>
      <c r="AH8" s="698"/>
      <c r="AI8" s="698"/>
      <c r="AJ8" s="698"/>
      <c r="AK8" s="698"/>
      <c r="AL8" s="700"/>
    </row>
    <row r="9" spans="1:38">
      <c r="A9" s="1142" t="s">
        <v>1006</v>
      </c>
      <c r="B9" s="1155">
        <v>350000</v>
      </c>
      <c r="C9" s="1144"/>
      <c r="D9" s="1145">
        <v>22.95</v>
      </c>
      <c r="E9" s="1146">
        <v>0.72</v>
      </c>
      <c r="F9" s="1147">
        <f t="shared" si="0"/>
        <v>5783400</v>
      </c>
      <c r="G9" s="1145">
        <v>16.34</v>
      </c>
      <c r="H9" s="1146">
        <v>0.254</v>
      </c>
      <c r="I9" s="1147">
        <f>B9*G9*2000*H9*E27</f>
        <v>2560776.851836645</v>
      </c>
      <c r="J9" s="1148">
        <v>2.7058E-3</v>
      </c>
      <c r="K9" s="1149">
        <v>45.28</v>
      </c>
      <c r="L9" s="1150">
        <v>20</v>
      </c>
      <c r="M9" s="1151" t="s">
        <v>353</v>
      </c>
      <c r="N9" s="1149" t="s">
        <v>1007</v>
      </c>
      <c r="O9" s="1152">
        <v>0.35099999999999998</v>
      </c>
      <c r="P9" s="1153">
        <f>B9*J9*L9*2000*O9</f>
        <v>13296301.199999999</v>
      </c>
      <c r="Q9" s="1154">
        <f t="shared" ref="Q9:Q12" si="1">P9/(F9+I9)</f>
        <v>1.5934826689433526</v>
      </c>
      <c r="R9" s="1141" t="s">
        <v>1004</v>
      </c>
      <c r="S9" s="783"/>
      <c r="T9" s="720" t="s">
        <v>1008</v>
      </c>
      <c r="U9" s="701"/>
      <c r="V9" s="698"/>
      <c r="W9" s="698"/>
      <c r="X9" s="698"/>
      <c r="Y9" s="698"/>
      <c r="Z9" s="698"/>
      <c r="AA9" s="698"/>
      <c r="AB9" s="698"/>
      <c r="AC9" s="698"/>
      <c r="AD9" s="698"/>
      <c r="AE9" s="698"/>
      <c r="AF9" s="698"/>
      <c r="AG9" s="698"/>
      <c r="AH9" s="698"/>
      <c r="AI9" s="698"/>
      <c r="AJ9" s="698"/>
      <c r="AK9" s="698"/>
      <c r="AL9" s="700"/>
    </row>
    <row r="10" spans="1:38">
      <c r="A10" s="1097" t="s">
        <v>364</v>
      </c>
      <c r="B10" s="1132">
        <v>165000</v>
      </c>
      <c r="C10" s="1133"/>
      <c r="D10" s="1134">
        <v>17.079999999999998</v>
      </c>
      <c r="E10" s="1135">
        <v>0.17080000000000001</v>
      </c>
      <c r="F10" s="1136">
        <f t="shared" si="0"/>
        <v>481348.55999999994</v>
      </c>
      <c r="G10" s="1134">
        <v>6.98</v>
      </c>
      <c r="H10" s="1135">
        <v>0.19800000000000001</v>
      </c>
      <c r="I10" s="1136">
        <f>B10*G10*2000*H10*E27</f>
        <v>401996.69195755298</v>
      </c>
      <c r="J10" s="1137">
        <v>3.0985819999999999E-3</v>
      </c>
      <c r="K10" s="1156">
        <v>7.15</v>
      </c>
      <c r="L10" s="1139">
        <v>69</v>
      </c>
      <c r="M10" s="1157" t="s">
        <v>354</v>
      </c>
      <c r="N10" s="1156">
        <v>32</v>
      </c>
      <c r="O10" s="1158"/>
      <c r="P10" s="1136">
        <f>B10*L10*N10*J10</f>
        <v>1128875.3942400001</v>
      </c>
      <c r="Q10" s="1154">
        <f t="shared" si="1"/>
        <v>1.27795490125558</v>
      </c>
      <c r="R10" s="1141" t="s">
        <v>1009</v>
      </c>
      <c r="S10" s="783"/>
      <c r="T10" s="780"/>
      <c r="U10" s="1284" t="s">
        <v>1010</v>
      </c>
      <c r="V10" s="1285"/>
      <c r="W10" s="1285"/>
      <c r="X10" s="1285"/>
      <c r="Y10" s="1285"/>
      <c r="Z10" s="1285"/>
      <c r="AA10" s="1285"/>
      <c r="AB10" s="1285"/>
      <c r="AC10" s="1285"/>
      <c r="AD10" s="1285"/>
      <c r="AE10" s="1285"/>
      <c r="AF10" s="1285"/>
      <c r="AG10" s="1285"/>
      <c r="AH10" s="1285"/>
      <c r="AI10" s="1285"/>
      <c r="AJ10" s="1285"/>
      <c r="AK10" s="1285"/>
      <c r="AL10" s="700"/>
    </row>
    <row r="11" spans="1:38" ht="15" customHeight="1">
      <c r="A11" s="1097" t="s">
        <v>1011</v>
      </c>
      <c r="B11" s="1132">
        <v>7310000</v>
      </c>
      <c r="C11" s="1133"/>
      <c r="D11" s="1134">
        <v>17.72</v>
      </c>
      <c r="E11" s="1135">
        <v>0.1772</v>
      </c>
      <c r="F11" s="1136">
        <f t="shared" si="0"/>
        <v>22953283.039999995</v>
      </c>
      <c r="G11" s="1134">
        <v>3.0819999999999999</v>
      </c>
      <c r="H11" s="1135">
        <v>1.7000000000000001E-2</v>
      </c>
      <c r="I11" s="1136">
        <f>B11*G11*2000*H11*E27</f>
        <v>675175.78011284</v>
      </c>
      <c r="J11" s="1137">
        <v>6.5026579999999997E-3</v>
      </c>
      <c r="K11" s="1138">
        <v>14.62</v>
      </c>
      <c r="L11" s="1139">
        <v>45</v>
      </c>
      <c r="M11" s="1159" t="s">
        <v>354</v>
      </c>
      <c r="N11" s="1138">
        <v>60</v>
      </c>
      <c r="O11" s="867"/>
      <c r="P11" s="1136">
        <f>B11*J11*L11*N11</f>
        <v>128342960.94600001</v>
      </c>
      <c r="Q11" s="1154">
        <f t="shared" si="1"/>
        <v>5.431711053314781</v>
      </c>
      <c r="R11" s="1141" t="s">
        <v>1012</v>
      </c>
      <c r="S11" s="783"/>
      <c r="T11" s="721"/>
      <c r="U11" s="1285"/>
      <c r="V11" s="1285"/>
      <c r="W11" s="1285"/>
      <c r="X11" s="1285"/>
      <c r="Y11" s="1285"/>
      <c r="Z11" s="1285"/>
      <c r="AA11" s="1285"/>
      <c r="AB11" s="1285"/>
      <c r="AC11" s="1285"/>
      <c r="AD11" s="1285"/>
      <c r="AE11" s="1285"/>
      <c r="AF11" s="1285"/>
      <c r="AG11" s="1285"/>
      <c r="AH11" s="1285"/>
      <c r="AI11" s="1285"/>
      <c r="AJ11" s="1285"/>
      <c r="AK11" s="1285"/>
      <c r="AL11" s="700"/>
    </row>
    <row r="12" spans="1:38">
      <c r="A12" s="1097" t="s">
        <v>623</v>
      </c>
      <c r="B12" s="1160">
        <v>1610000</v>
      </c>
      <c r="C12" s="1133"/>
      <c r="D12" s="1134">
        <v>16.7</v>
      </c>
      <c r="E12" s="1135">
        <v>0.874</v>
      </c>
      <c r="F12" s="1136">
        <f t="shared" si="0"/>
        <v>23499238</v>
      </c>
      <c r="G12" s="1134">
        <v>5</v>
      </c>
      <c r="H12" s="1135">
        <v>0.05</v>
      </c>
      <c r="I12" s="1136">
        <f>B12*G12*2000*H12*E27</f>
        <v>709551.31111810589</v>
      </c>
      <c r="J12" s="1137">
        <v>2.880372E-3</v>
      </c>
      <c r="K12" s="1138">
        <v>10.429</v>
      </c>
      <c r="L12" s="1139">
        <v>54.7</v>
      </c>
      <c r="M12" s="1159" t="s">
        <v>354</v>
      </c>
      <c r="N12" s="1138">
        <v>60</v>
      </c>
      <c r="O12" s="867"/>
      <c r="P12" s="1136">
        <f>B12*J12*L12*N12</f>
        <v>15219943.25544</v>
      </c>
      <c r="Q12" s="1154">
        <f t="shared" si="1"/>
        <v>0.62869493636553331</v>
      </c>
      <c r="R12" s="1141" t="s">
        <v>1013</v>
      </c>
      <c r="S12" s="783"/>
      <c r="T12" s="720"/>
      <c r="U12" s="1286" t="s">
        <v>1014</v>
      </c>
      <c r="V12" s="1285"/>
      <c r="W12" s="1285"/>
      <c r="X12" s="1285"/>
      <c r="Y12" s="1285"/>
      <c r="Z12" s="1285"/>
      <c r="AA12" s="1285"/>
      <c r="AB12" s="1285"/>
      <c r="AC12" s="1285"/>
      <c r="AD12" s="1285"/>
      <c r="AE12" s="1285"/>
      <c r="AF12" s="1285"/>
      <c r="AG12" s="1285"/>
      <c r="AH12" s="1285"/>
      <c r="AI12" s="1285"/>
      <c r="AJ12" s="1285"/>
      <c r="AK12" s="1285"/>
      <c r="AL12" s="700"/>
    </row>
    <row r="13" spans="1:38">
      <c r="A13" s="1097"/>
      <c r="B13" s="1160"/>
      <c r="C13" s="1133"/>
      <c r="D13" s="1134"/>
      <c r="E13" s="1135"/>
      <c r="F13" s="1136"/>
      <c r="G13" s="1134"/>
      <c r="H13" s="1135"/>
      <c r="I13" s="1136"/>
      <c r="J13" s="1137"/>
      <c r="K13" s="1138"/>
      <c r="L13" s="1139"/>
      <c r="M13" s="1159"/>
      <c r="N13" s="1138"/>
      <c r="O13" s="867"/>
      <c r="P13" s="1136"/>
      <c r="Q13" s="1154"/>
      <c r="R13" s="1141"/>
      <c r="S13" s="783"/>
      <c r="T13" s="780"/>
      <c r="U13" s="1285"/>
      <c r="V13" s="1285"/>
      <c r="W13" s="1285"/>
      <c r="X13" s="1285"/>
      <c r="Y13" s="1285"/>
      <c r="Z13" s="1285"/>
      <c r="AA13" s="1285"/>
      <c r="AB13" s="1285"/>
      <c r="AC13" s="1285"/>
      <c r="AD13" s="1285"/>
      <c r="AE13" s="1285"/>
      <c r="AF13" s="1285"/>
      <c r="AG13" s="1285"/>
      <c r="AH13" s="1285"/>
      <c r="AI13" s="1285"/>
      <c r="AJ13" s="1285"/>
      <c r="AK13" s="1285"/>
      <c r="AL13" s="700"/>
    </row>
    <row r="14" spans="1:38">
      <c r="A14" s="1097" t="s">
        <v>1015</v>
      </c>
      <c r="B14" s="1160">
        <v>1900000</v>
      </c>
      <c r="C14" s="1133"/>
      <c r="D14" s="1134">
        <v>11</v>
      </c>
      <c r="E14" s="1135">
        <v>0.5</v>
      </c>
      <c r="F14" s="1136">
        <f t="shared" ref="F14:F15" si="2">B14*D14*E14</f>
        <v>10450000</v>
      </c>
      <c r="G14" s="1134"/>
      <c r="H14" s="1135"/>
      <c r="I14" s="1136"/>
      <c r="J14" s="1137">
        <v>2.793088E-3</v>
      </c>
      <c r="K14" s="1138" t="s">
        <v>1007</v>
      </c>
      <c r="L14" s="1139">
        <v>2.84</v>
      </c>
      <c r="M14" s="1159" t="s">
        <v>1016</v>
      </c>
      <c r="N14" s="1138"/>
      <c r="O14" s="867">
        <v>0.83799999999999997</v>
      </c>
      <c r="P14" s="1136">
        <f>B14*L14*2000*J14*O14</f>
        <v>25259838.773247998</v>
      </c>
      <c r="Q14" s="1154">
        <f t="shared" ref="Q14:Q20" si="3">P14/(F14+I14)</f>
        <v>2.4172094519854546</v>
      </c>
      <c r="R14" s="1141"/>
      <c r="S14" s="783"/>
      <c r="T14" s="780"/>
      <c r="U14" s="1161" t="s">
        <v>1017</v>
      </c>
      <c r="V14" s="725"/>
      <c r="W14" s="725"/>
      <c r="X14" s="725"/>
      <c r="Y14" s="725"/>
      <c r="Z14" s="725"/>
      <c r="AA14" s="725"/>
      <c r="AB14" s="725"/>
      <c r="AC14" s="725"/>
      <c r="AD14" s="725"/>
      <c r="AE14" s="725"/>
      <c r="AF14" s="725"/>
      <c r="AG14" s="725"/>
      <c r="AH14" s="725"/>
      <c r="AI14" s="725"/>
      <c r="AJ14" s="725"/>
      <c r="AK14" s="725"/>
      <c r="AL14" s="700"/>
    </row>
    <row r="15" spans="1:38">
      <c r="A15" s="1097" t="s">
        <v>1018</v>
      </c>
      <c r="B15" s="1160">
        <v>175000</v>
      </c>
      <c r="C15" s="1133"/>
      <c r="D15" s="1134">
        <v>13.092000000000001</v>
      </c>
      <c r="E15" s="1135">
        <v>0.5</v>
      </c>
      <c r="F15" s="1136">
        <f t="shared" si="2"/>
        <v>1145550</v>
      </c>
      <c r="G15" s="1134"/>
      <c r="H15" s="1135"/>
      <c r="I15" s="1136"/>
      <c r="J15" s="1137">
        <v>4.0600000000000002E-3</v>
      </c>
      <c r="K15" s="1138" t="s">
        <v>1007</v>
      </c>
      <c r="L15" s="1139">
        <v>1750</v>
      </c>
      <c r="M15" s="1159" t="s">
        <v>184</v>
      </c>
      <c r="N15" s="1138"/>
      <c r="O15" s="867"/>
      <c r="P15" s="1136">
        <f>B15*J15*L15</f>
        <v>1243375</v>
      </c>
      <c r="Q15" s="1154">
        <f t="shared" si="3"/>
        <v>1.085395661472655</v>
      </c>
      <c r="R15" s="1141" t="s">
        <v>1019</v>
      </c>
      <c r="S15" s="783"/>
      <c r="T15" s="780"/>
      <c r="U15" s="1161" t="s">
        <v>1020</v>
      </c>
      <c r="V15" s="725"/>
      <c r="W15" s="725"/>
      <c r="X15" s="725"/>
      <c r="Y15" s="725"/>
      <c r="Z15" s="725"/>
      <c r="AA15" s="725"/>
      <c r="AB15" s="725"/>
      <c r="AC15" s="725"/>
      <c r="AD15" s="725"/>
      <c r="AE15" s="725"/>
      <c r="AF15" s="725"/>
      <c r="AG15" s="725"/>
      <c r="AH15" s="725"/>
      <c r="AI15" s="725"/>
      <c r="AJ15" s="725"/>
      <c r="AK15" s="725"/>
      <c r="AL15" s="700"/>
    </row>
    <row r="16" spans="1:38">
      <c r="A16" s="1097" t="s">
        <v>1021</v>
      </c>
      <c r="B16" s="1160">
        <v>45000</v>
      </c>
      <c r="C16" s="1133"/>
      <c r="D16" s="1134">
        <v>8.7279999999999998</v>
      </c>
      <c r="E16" s="1135">
        <v>0.5</v>
      </c>
      <c r="F16" s="1136">
        <f t="shared" si="0"/>
        <v>196380</v>
      </c>
      <c r="G16" s="1134"/>
      <c r="H16" s="1135"/>
      <c r="I16" s="1136"/>
      <c r="J16" s="1137"/>
      <c r="K16" s="1138">
        <v>20</v>
      </c>
      <c r="L16" s="1139">
        <v>1530</v>
      </c>
      <c r="M16" s="1159" t="s">
        <v>184</v>
      </c>
      <c r="N16" s="1138" t="s">
        <v>1007</v>
      </c>
      <c r="O16" s="867"/>
      <c r="P16" s="1136">
        <f>B16*K16</f>
        <v>900000</v>
      </c>
      <c r="Q16" s="1154">
        <f t="shared" si="3"/>
        <v>4.5829514207149407</v>
      </c>
      <c r="R16" s="1141" t="s">
        <v>1022</v>
      </c>
      <c r="S16" s="783"/>
      <c r="T16" s="721"/>
      <c r="U16" s="1021" t="s">
        <v>1023</v>
      </c>
      <c r="V16" s="725"/>
      <c r="W16" s="725"/>
      <c r="X16" s="725"/>
      <c r="Y16" s="725"/>
      <c r="Z16" s="725"/>
      <c r="AA16" s="725"/>
      <c r="AB16" s="725"/>
      <c r="AC16" s="725"/>
      <c r="AD16" s="725"/>
      <c r="AE16" s="725"/>
      <c r="AF16" s="725"/>
      <c r="AG16" s="725"/>
      <c r="AH16" s="725"/>
      <c r="AI16" s="725"/>
      <c r="AJ16" s="725"/>
      <c r="AK16" s="725"/>
      <c r="AL16" s="700"/>
    </row>
    <row r="17" spans="1:38">
      <c r="A17" s="1097" t="s">
        <v>1024</v>
      </c>
      <c r="B17" s="1160">
        <v>82000</v>
      </c>
      <c r="C17" s="1133"/>
      <c r="D17" s="1134">
        <v>8.7279999999999998</v>
      </c>
      <c r="E17" s="1135">
        <v>0.5</v>
      </c>
      <c r="F17" s="1136">
        <f t="shared" si="0"/>
        <v>357848</v>
      </c>
      <c r="G17" s="1134"/>
      <c r="H17" s="1135"/>
      <c r="I17" s="1136"/>
      <c r="J17" s="1137">
        <v>1.0212199999999999E-2</v>
      </c>
      <c r="K17" s="1138">
        <v>5.2367999999999997</v>
      </c>
      <c r="L17" s="1139">
        <v>1424</v>
      </c>
      <c r="M17" s="1159" t="s">
        <v>184</v>
      </c>
      <c r="N17" s="1138"/>
      <c r="O17" s="867"/>
      <c r="P17" s="1136">
        <f>B17*J17*L17</f>
        <v>1192458.1695999999</v>
      </c>
      <c r="Q17" s="1154">
        <f t="shared" si="3"/>
        <v>3.3323035747021077</v>
      </c>
      <c r="R17" s="1141" t="s">
        <v>1025</v>
      </c>
      <c r="S17" s="783"/>
      <c r="T17" s="721"/>
      <c r="U17" s="1021"/>
      <c r="V17" s="725"/>
      <c r="W17" s="725"/>
      <c r="X17" s="725"/>
      <c r="Y17" s="725"/>
      <c r="Z17" s="725"/>
      <c r="AA17" s="725"/>
      <c r="AB17" s="725"/>
      <c r="AC17" s="725"/>
      <c r="AD17" s="725"/>
      <c r="AE17" s="725"/>
      <c r="AF17" s="725"/>
      <c r="AG17" s="725"/>
      <c r="AH17" s="725"/>
      <c r="AI17" s="725"/>
      <c r="AJ17" s="725"/>
      <c r="AK17" s="725"/>
      <c r="AL17" s="700"/>
    </row>
    <row r="18" spans="1:38">
      <c r="A18" s="1097" t="s">
        <v>1026</v>
      </c>
      <c r="B18" s="1160">
        <v>70000</v>
      </c>
      <c r="C18" s="1133"/>
      <c r="D18" s="1134">
        <v>15.37</v>
      </c>
      <c r="E18" s="1135">
        <v>0.93</v>
      </c>
      <c r="F18" s="1136">
        <f t="shared" si="0"/>
        <v>1000587</v>
      </c>
      <c r="G18" s="1134">
        <v>14.321</v>
      </c>
      <c r="H18" s="1162">
        <v>0.3014</v>
      </c>
      <c r="I18" s="1136">
        <f>B18*G18*2000*H18*E27</f>
        <v>532638.50017632172</v>
      </c>
      <c r="J18" s="1137">
        <v>2.880372E-3</v>
      </c>
      <c r="K18" s="1138">
        <v>10</v>
      </c>
      <c r="L18" s="1139">
        <v>62</v>
      </c>
      <c r="M18" s="1159" t="s">
        <v>354</v>
      </c>
      <c r="N18" s="1138">
        <v>48</v>
      </c>
      <c r="O18" s="867"/>
      <c r="P18" s="1136">
        <f>B18*J18*L18*N18</f>
        <v>600039.09503999993</v>
      </c>
      <c r="Q18" s="1154">
        <f t="shared" si="3"/>
        <v>0.39135736717853642</v>
      </c>
      <c r="R18" s="1141" t="s">
        <v>1027</v>
      </c>
      <c r="S18" s="783"/>
      <c r="T18" s="744" t="s">
        <v>1028</v>
      </c>
      <c r="U18" s="1021"/>
      <c r="V18" s="725"/>
      <c r="W18" s="725"/>
      <c r="X18" s="725"/>
      <c r="Y18" s="725"/>
      <c r="Z18" s="725"/>
      <c r="AA18" s="725"/>
      <c r="AB18" s="725"/>
      <c r="AC18" s="725"/>
      <c r="AD18" s="725"/>
      <c r="AE18" s="725"/>
      <c r="AF18" s="725"/>
      <c r="AG18" s="725"/>
      <c r="AH18" s="725"/>
      <c r="AI18" s="725"/>
      <c r="AJ18" s="725"/>
      <c r="AK18" s="725"/>
      <c r="AL18" s="700"/>
    </row>
    <row r="19" spans="1:38">
      <c r="A19" s="1097" t="s">
        <v>1029</v>
      </c>
      <c r="B19" s="1160">
        <v>42000</v>
      </c>
      <c r="C19" s="1133"/>
      <c r="D19" s="1134">
        <v>23.5656</v>
      </c>
      <c r="E19" s="1135">
        <v>1</v>
      </c>
      <c r="F19" s="1136">
        <f t="shared" si="0"/>
        <v>989755.2</v>
      </c>
      <c r="G19" s="1134"/>
      <c r="H19" s="1135"/>
      <c r="I19" s="1136"/>
      <c r="J19" s="1137"/>
      <c r="K19" s="1138">
        <v>30</v>
      </c>
      <c r="L19" s="1139">
        <v>45360</v>
      </c>
      <c r="M19" s="1159" t="s">
        <v>184</v>
      </c>
      <c r="N19" s="1138" t="s">
        <v>1007</v>
      </c>
      <c r="O19" s="867"/>
      <c r="P19" s="1136">
        <f>B19*L18*N18*J18</f>
        <v>360023.457024</v>
      </c>
      <c r="Q19" s="1154">
        <f t="shared" si="3"/>
        <v>0.36375000305530097</v>
      </c>
      <c r="R19" s="1141" t="s">
        <v>528</v>
      </c>
      <c r="S19" s="783"/>
      <c r="T19" s="1163"/>
      <c r="U19" s="1021" t="s">
        <v>1030</v>
      </c>
      <c r="V19" s="725"/>
      <c r="W19" s="725"/>
      <c r="X19" s="725"/>
      <c r="Y19" s="725"/>
      <c r="Z19" s="725"/>
      <c r="AA19" s="725"/>
      <c r="AB19" s="725"/>
      <c r="AC19" s="725"/>
      <c r="AD19" s="725"/>
      <c r="AE19" s="725"/>
      <c r="AF19" s="725"/>
      <c r="AG19" s="725"/>
      <c r="AH19" s="725"/>
      <c r="AI19" s="725"/>
      <c r="AJ19" s="725"/>
      <c r="AK19" s="725"/>
      <c r="AL19" s="700"/>
    </row>
    <row r="20" spans="1:38" ht="15" thickBot="1">
      <c r="A20" s="1164" t="s">
        <v>1031</v>
      </c>
      <c r="B20" s="1165">
        <v>441000</v>
      </c>
      <c r="C20" s="1166"/>
      <c r="D20" s="1167">
        <v>27.95</v>
      </c>
      <c r="E20" s="1168">
        <v>0.97</v>
      </c>
      <c r="F20" s="1169">
        <f t="shared" si="0"/>
        <v>11956171.5</v>
      </c>
      <c r="G20" s="1167">
        <v>0</v>
      </c>
      <c r="H20" s="1168">
        <v>0</v>
      </c>
      <c r="I20" s="1169">
        <f>B20*G20*2000*H20*E27</f>
        <v>0</v>
      </c>
      <c r="J20" s="1170"/>
      <c r="K20" s="1171">
        <v>22</v>
      </c>
      <c r="L20" s="1172">
        <v>26.6</v>
      </c>
      <c r="M20" s="1173" t="s">
        <v>353</v>
      </c>
      <c r="N20" s="1171" t="s">
        <v>1007</v>
      </c>
      <c r="O20" s="1174"/>
      <c r="P20" s="1169">
        <f>B20*K20</f>
        <v>9702000</v>
      </c>
      <c r="Q20" s="1175">
        <f t="shared" si="3"/>
        <v>0.81146376998690595</v>
      </c>
      <c r="R20" s="1176" t="s">
        <v>1032</v>
      </c>
      <c r="S20" s="783"/>
      <c r="T20" s="1163"/>
      <c r="U20" s="1021"/>
      <c r="V20" s="725"/>
      <c r="W20" s="725"/>
      <c r="X20" s="725"/>
      <c r="Y20" s="725"/>
      <c r="Z20" s="725"/>
      <c r="AA20" s="725"/>
      <c r="AB20" s="725"/>
      <c r="AC20" s="725"/>
      <c r="AD20" s="725"/>
      <c r="AE20" s="725"/>
      <c r="AF20" s="725"/>
      <c r="AG20" s="725"/>
      <c r="AH20" s="725"/>
      <c r="AI20" s="725"/>
      <c r="AJ20" s="725"/>
      <c r="AK20" s="725"/>
      <c r="AL20" s="700"/>
    </row>
    <row r="21" spans="1:38" ht="17" thickTop="1">
      <c r="F21" s="593"/>
      <c r="I21" s="593"/>
      <c r="J21" s="593"/>
      <c r="Q21" s="1177"/>
      <c r="R21" s="788"/>
      <c r="T21" s="721" t="s">
        <v>1033</v>
      </c>
      <c r="U21" s="725"/>
      <c r="V21" s="698"/>
      <c r="W21" s="698"/>
      <c r="X21" s="698"/>
      <c r="Y21" s="698"/>
      <c r="Z21" s="698"/>
      <c r="AA21" s="698"/>
      <c r="AB21" s="698"/>
      <c r="AC21" s="698"/>
      <c r="AD21" s="698"/>
      <c r="AE21" s="698"/>
      <c r="AF21" s="698"/>
      <c r="AG21" s="698"/>
      <c r="AH21" s="698"/>
      <c r="AI21" s="698"/>
      <c r="AJ21" s="698"/>
      <c r="AK21" s="698"/>
      <c r="AL21" s="700"/>
    </row>
    <row r="22" spans="1:38">
      <c r="B22" s="1178"/>
      <c r="C22" s="1179"/>
      <c r="D22" s="1180"/>
      <c r="E22" s="1181" t="s">
        <v>1034</v>
      </c>
      <c r="F22" s="1182">
        <f>SUM(F8:F20)</f>
        <v>199438761.29999998</v>
      </c>
      <c r="I22" s="1183">
        <f>SUM(I8:I20)</f>
        <v>58290627.759222925</v>
      </c>
      <c r="J22" s="1180"/>
      <c r="K22" s="1179"/>
      <c r="L22" s="1179"/>
      <c r="M22" s="1184" t="s">
        <v>1035</v>
      </c>
      <c r="N22" s="164"/>
      <c r="O22" s="164"/>
      <c r="P22" s="1183">
        <f>SUM(P8:P20)</f>
        <v>421447286.04259205</v>
      </c>
      <c r="Q22" s="1185" t="s">
        <v>1036</v>
      </c>
      <c r="R22" s="1186"/>
      <c r="T22" s="744"/>
      <c r="U22" s="725" t="s">
        <v>1037</v>
      </c>
      <c r="V22" s="698"/>
      <c r="W22" s="698"/>
      <c r="X22" s="698"/>
      <c r="Y22" s="698"/>
      <c r="Z22" s="698"/>
      <c r="AA22" s="698"/>
      <c r="AB22" s="698"/>
      <c r="AC22" s="698"/>
      <c r="AD22" s="698"/>
      <c r="AE22" s="698"/>
      <c r="AF22" s="698"/>
      <c r="AG22" s="698"/>
      <c r="AH22" s="698"/>
      <c r="AI22" s="698"/>
      <c r="AJ22" s="698"/>
      <c r="AK22" s="698"/>
      <c r="AL22" s="700"/>
    </row>
    <row r="23" spans="1:38" ht="15" thickBot="1">
      <c r="B23" s="676"/>
      <c r="C23" s="208"/>
      <c r="D23" s="318"/>
      <c r="E23" s="746"/>
      <c r="F23" s="789"/>
      <c r="G23" s="318"/>
      <c r="H23" s="746"/>
      <c r="I23" s="789"/>
      <c r="J23" s="789"/>
      <c r="K23" s="164"/>
      <c r="L23" s="164"/>
      <c r="M23" s="164"/>
      <c r="N23" s="164"/>
      <c r="O23" s="164"/>
      <c r="P23" s="164"/>
      <c r="Q23" s="1187"/>
      <c r="R23" s="788"/>
      <c r="T23" s="1188"/>
      <c r="U23" s="703"/>
      <c r="V23" s="703"/>
      <c r="W23" s="703"/>
      <c r="X23" s="703"/>
      <c r="Y23" s="703"/>
      <c r="Z23" s="703"/>
      <c r="AA23" s="703"/>
      <c r="AB23" s="703"/>
      <c r="AC23" s="703"/>
      <c r="AD23" s="703"/>
      <c r="AE23" s="703"/>
      <c r="AF23" s="703"/>
      <c r="AG23" s="703"/>
      <c r="AH23" s="703"/>
      <c r="AI23" s="703"/>
      <c r="AJ23" s="703"/>
      <c r="AK23" s="703"/>
      <c r="AL23" s="704"/>
    </row>
    <row r="24" spans="1:38">
      <c r="D24" s="1189" t="s">
        <v>1038</v>
      </c>
      <c r="E24" s="1190">
        <f>IF(DairyManure!G24=0,0,(DairyManure!$G$24/DairyManure!$H$24))</f>
        <v>6.9281515833903074E-4</v>
      </c>
      <c r="F24" s="1191" t="s">
        <v>1039</v>
      </c>
      <c r="G24" s="1192"/>
      <c r="I24" s="1193"/>
      <c r="J24" s="1193"/>
      <c r="K24" s="1194"/>
      <c r="L24" s="1194"/>
      <c r="M24" s="1194"/>
      <c r="N24" s="1194"/>
      <c r="O24" s="1194"/>
      <c r="P24" s="1194"/>
      <c r="Q24" s="1195"/>
      <c r="S24" s="788"/>
      <c r="T24" s="318"/>
      <c r="V24" s="208"/>
      <c r="W24" s="208"/>
      <c r="X24" s="208"/>
      <c r="Y24" s="208"/>
      <c r="Z24" s="208"/>
      <c r="AA24" s="208"/>
      <c r="AB24" s="208"/>
      <c r="AC24" s="208"/>
      <c r="AD24" s="208"/>
      <c r="AE24" s="208"/>
      <c r="AF24" s="208"/>
      <c r="AG24" s="208"/>
      <c r="AH24" s="208"/>
      <c r="AI24" s="208"/>
      <c r="AJ24" s="208"/>
      <c r="AK24" s="208"/>
      <c r="AL24" s="208"/>
    </row>
    <row r="25" spans="1:38">
      <c r="B25" s="5"/>
      <c r="D25" s="1196" t="s">
        <v>1040</v>
      </c>
      <c r="E25" s="1197">
        <f>IF(SwineManure!I22=0,0,(SwineManure!$I$22/SwineManure!$J$22))</f>
        <v>1.1846967146188373E-3</v>
      </c>
      <c r="F25" s="892" t="s">
        <v>982</v>
      </c>
      <c r="I25" s="1183">
        <f>F22+I22</f>
        <v>257729389.05922291</v>
      </c>
      <c r="J25" s="1198"/>
      <c r="K25" s="1199"/>
      <c r="L25" s="1185"/>
      <c r="M25" s="1181" t="s">
        <v>1041</v>
      </c>
      <c r="N25" s="1187"/>
      <c r="O25" s="1187"/>
      <c r="P25" s="1187"/>
      <c r="Q25" s="63"/>
      <c r="S25" s="788"/>
      <c r="T25" s="318"/>
      <c r="V25" s="208"/>
      <c r="W25" s="208"/>
      <c r="X25" s="208"/>
      <c r="Y25" s="208"/>
      <c r="Z25" s="208"/>
      <c r="AA25" s="208"/>
      <c r="AB25" s="208"/>
      <c r="AC25" s="208"/>
      <c r="AD25" s="208"/>
      <c r="AE25" s="208"/>
      <c r="AF25" s="208"/>
      <c r="AG25" s="208"/>
      <c r="AH25" s="208"/>
      <c r="AI25" s="208"/>
      <c r="AJ25" s="208"/>
      <c r="AK25" s="208"/>
      <c r="AL25" s="208"/>
    </row>
    <row r="26" spans="1:38">
      <c r="D26" s="896"/>
      <c r="E26" s="1200">
        <f>IF(BeefManure!H31=0,0,(BeefManure!$H$31/BeefManure!$I$31))</f>
        <v>7.6677872748227827E-4</v>
      </c>
      <c r="F26" s="898" t="s">
        <v>621</v>
      </c>
      <c r="S26" s="788"/>
      <c r="T26" s="318"/>
      <c r="V26" s="208"/>
      <c r="W26" s="208"/>
      <c r="X26" s="208"/>
      <c r="Y26" s="208"/>
      <c r="Z26" s="208"/>
      <c r="AA26" s="208"/>
      <c r="AB26" s="208"/>
      <c r="AC26" s="208"/>
      <c r="AD26" s="208"/>
      <c r="AE26" s="208"/>
      <c r="AF26" s="208"/>
      <c r="AG26" s="208"/>
      <c r="AH26" s="208"/>
      <c r="AI26" s="208"/>
      <c r="AJ26" s="208"/>
      <c r="AK26" s="208"/>
      <c r="AL26" s="208"/>
    </row>
    <row r="27" spans="1:38" ht="15" thickBot="1">
      <c r="D27" s="781"/>
      <c r="E27" s="1201">
        <f>AVERAGE(E24:E26)</f>
        <v>8.8143020014671539E-4</v>
      </c>
      <c r="F27" s="789" t="s">
        <v>1042</v>
      </c>
      <c r="G27" s="208"/>
      <c r="H27" s="208"/>
      <c r="I27" s="208"/>
      <c r="J27" s="208"/>
      <c r="K27" s="208"/>
      <c r="L27" s="208"/>
      <c r="M27" s="208"/>
      <c r="N27" s="208"/>
      <c r="O27" s="208"/>
      <c r="P27" s="208"/>
      <c r="T27" s="318"/>
      <c r="V27" s="208"/>
      <c r="W27" s="208"/>
      <c r="X27" s="208"/>
      <c r="Y27" s="208"/>
      <c r="Z27" s="208"/>
      <c r="AA27" s="208"/>
      <c r="AB27" s="208"/>
      <c r="AC27" s="208"/>
      <c r="AD27" s="208"/>
      <c r="AE27" s="208"/>
      <c r="AF27" s="208"/>
      <c r="AG27" s="208"/>
      <c r="AH27" s="208"/>
      <c r="AI27" s="208"/>
      <c r="AJ27" s="208"/>
      <c r="AK27" s="208"/>
      <c r="AL27" s="208"/>
    </row>
    <row r="28" spans="1:38" s="208" customFormat="1" ht="19" thickBot="1">
      <c r="B28" s="992" t="s">
        <v>1043</v>
      </c>
      <c r="C28" s="991"/>
      <c r="D28" s="1202">
        <f>P22/(I25)</f>
        <v>1.6352317738422484</v>
      </c>
      <c r="E28"/>
      <c r="F28" s="783"/>
      <c r="Q28"/>
      <c r="V28"/>
      <c r="W28"/>
      <c r="X28"/>
      <c r="Y28"/>
      <c r="Z28"/>
      <c r="AA28"/>
      <c r="AB28"/>
      <c r="AC28"/>
      <c r="AD28"/>
      <c r="AE28"/>
      <c r="AF28"/>
      <c r="AG28"/>
      <c r="AH28"/>
      <c r="AI28"/>
      <c r="AJ28"/>
      <c r="AK28"/>
      <c r="AL28"/>
    </row>
    <row r="29" spans="1:38" s="208" customFormat="1">
      <c r="A29"/>
      <c r="B29"/>
      <c r="C29"/>
      <c r="D29"/>
      <c r="F29"/>
      <c r="G29"/>
      <c r="H29"/>
      <c r="I29"/>
      <c r="J29"/>
      <c r="K29"/>
      <c r="L29"/>
      <c r="M29"/>
      <c r="N29"/>
      <c r="O29"/>
      <c r="P29"/>
      <c r="Q29"/>
    </row>
    <row r="30" spans="1:38" s="208" customFormat="1">
      <c r="A30" s="63"/>
      <c r="B30" s="63"/>
      <c r="C30" s="63"/>
      <c r="D30" s="63"/>
      <c r="E30" s="63"/>
      <c r="F30" s="63"/>
      <c r="G30" s="63"/>
      <c r="H30" s="63"/>
      <c r="I30"/>
      <c r="J30"/>
      <c r="K30" s="63"/>
      <c r="L30" s="63"/>
      <c r="M30" s="63"/>
      <c r="N30" s="63"/>
      <c r="O30" s="63"/>
      <c r="P30" s="63"/>
      <c r="Q30" s="63"/>
      <c r="V30"/>
      <c r="W30"/>
      <c r="X30"/>
      <c r="Y30"/>
      <c r="Z30"/>
      <c r="AA30"/>
      <c r="AB30"/>
      <c r="AC30"/>
      <c r="AD30"/>
      <c r="AE30"/>
      <c r="AF30"/>
      <c r="AG30"/>
      <c r="AH30"/>
      <c r="AI30"/>
      <c r="AJ30"/>
      <c r="AK30"/>
      <c r="AL30"/>
    </row>
    <row r="31" spans="1:38" s="208" customFormat="1">
      <c r="A31" s="63"/>
      <c r="B31" s="63"/>
      <c r="C31" s="63"/>
      <c r="D31" s="63"/>
      <c r="E31" s="63"/>
      <c r="F31" s="583"/>
      <c r="G31" s="63"/>
      <c r="H31" s="63"/>
      <c r="I31"/>
      <c r="J31"/>
      <c r="K31" s="63"/>
      <c r="L31" s="63"/>
      <c r="M31" s="63"/>
      <c r="N31" s="63"/>
      <c r="O31" s="63"/>
      <c r="P31" s="63"/>
      <c r="Q31" s="63"/>
      <c r="V31"/>
      <c r="W31"/>
      <c r="X31"/>
      <c r="Y31"/>
      <c r="Z31"/>
      <c r="AA31"/>
      <c r="AB31"/>
      <c r="AC31"/>
      <c r="AD31"/>
      <c r="AE31"/>
      <c r="AF31"/>
      <c r="AG31"/>
      <c r="AH31"/>
      <c r="AI31"/>
      <c r="AJ31"/>
      <c r="AK31"/>
      <c r="AL31"/>
    </row>
    <row r="32" spans="1:38">
      <c r="A32" s="63"/>
      <c r="B32" s="63"/>
      <c r="C32" s="63"/>
      <c r="D32" s="63"/>
      <c r="E32" s="63"/>
      <c r="F32" s="63"/>
      <c r="G32" s="63"/>
      <c r="H32" s="63"/>
      <c r="K32" s="63"/>
      <c r="L32" s="63"/>
      <c r="M32" s="63"/>
      <c r="N32" s="63"/>
      <c r="O32" s="63"/>
      <c r="P32" s="63"/>
      <c r="Q32" s="63"/>
    </row>
    <row r="33" spans="1:38" s="208" customFormat="1">
      <c r="A33" s="63"/>
      <c r="B33" s="597"/>
      <c r="C33" s="63"/>
      <c r="D33" s="63"/>
      <c r="E33" s="63"/>
      <c r="F33" s="597"/>
      <c r="G33" s="63"/>
      <c r="H33" s="63"/>
      <c r="I33"/>
      <c r="J33"/>
      <c r="K33" s="63"/>
      <c r="L33" s="63"/>
      <c r="M33" s="63"/>
      <c r="N33" s="63"/>
      <c r="O33" s="63"/>
      <c r="P33" s="63"/>
      <c r="Q33" s="63"/>
      <c r="V33"/>
      <c r="W33"/>
      <c r="X33"/>
      <c r="Y33"/>
      <c r="Z33"/>
      <c r="AA33"/>
      <c r="AB33"/>
      <c r="AC33"/>
      <c r="AD33"/>
      <c r="AE33"/>
      <c r="AF33"/>
      <c r="AG33"/>
      <c r="AH33"/>
      <c r="AI33"/>
      <c r="AJ33"/>
      <c r="AK33"/>
      <c r="AL33"/>
    </row>
    <row r="34" spans="1:38">
      <c r="A34" s="63"/>
      <c r="B34" s="63"/>
      <c r="C34" s="63"/>
      <c r="D34" s="63"/>
      <c r="E34" s="63"/>
      <c r="F34" s="63"/>
      <c r="G34" s="63"/>
      <c r="H34" s="63"/>
      <c r="K34" s="63"/>
      <c r="L34" s="63"/>
      <c r="M34" s="63"/>
      <c r="N34" s="63"/>
      <c r="O34" s="63"/>
      <c r="P34" s="63"/>
      <c r="Q34" s="63"/>
    </row>
    <row r="35" spans="1:38">
      <c r="A35" s="63"/>
      <c r="B35" s="63"/>
      <c r="C35" s="63"/>
      <c r="D35" s="63"/>
      <c r="E35" s="63"/>
      <c r="F35" s="63"/>
      <c r="G35" s="63"/>
      <c r="H35" s="63"/>
      <c r="K35" s="63"/>
      <c r="L35" s="63"/>
      <c r="M35" s="63"/>
      <c r="N35" s="63"/>
      <c r="O35" s="63"/>
      <c r="P35" s="63"/>
      <c r="Q35" s="63"/>
    </row>
    <row r="36" spans="1:38">
      <c r="A36" s="63"/>
      <c r="B36" s="63"/>
      <c r="C36" s="63"/>
      <c r="D36" s="63"/>
      <c r="E36" s="63"/>
      <c r="F36" s="63"/>
      <c r="G36" s="63"/>
      <c r="H36" s="63"/>
      <c r="K36" s="63"/>
      <c r="L36" s="63"/>
      <c r="M36" s="63"/>
      <c r="N36" s="63"/>
      <c r="O36" s="63"/>
      <c r="P36" s="63"/>
      <c r="Q36" s="63"/>
    </row>
    <row r="37" spans="1:38">
      <c r="A37" s="63"/>
      <c r="B37" s="63"/>
      <c r="C37" s="63"/>
      <c r="D37" s="63"/>
      <c r="E37" s="63"/>
      <c r="F37" s="63"/>
      <c r="G37" s="63"/>
      <c r="H37" s="63"/>
      <c r="K37" s="63"/>
      <c r="L37" s="63"/>
      <c r="M37" s="63"/>
      <c r="N37" s="63"/>
      <c r="O37" s="63"/>
      <c r="P37" s="63"/>
      <c r="Q37" s="63"/>
    </row>
    <row r="38" spans="1:38">
      <c r="A38" s="63"/>
      <c r="B38" s="63"/>
      <c r="C38" s="63"/>
      <c r="D38" s="63"/>
      <c r="E38" s="63"/>
      <c r="F38" s="63"/>
      <c r="G38" s="63"/>
      <c r="H38" s="63"/>
      <c r="K38" s="63"/>
      <c r="L38" s="63"/>
      <c r="M38" s="63"/>
      <c r="N38" s="63"/>
      <c r="O38" s="63"/>
      <c r="P38" s="63"/>
      <c r="Q38" s="63"/>
    </row>
    <row r="39" spans="1:38">
      <c r="A39" s="63"/>
      <c r="B39" s="63"/>
      <c r="C39" s="63"/>
      <c r="D39" s="63"/>
      <c r="E39" s="63"/>
      <c r="F39" s="63"/>
      <c r="G39" s="63"/>
      <c r="H39" s="63"/>
      <c r="K39" s="63"/>
      <c r="L39" s="63"/>
      <c r="M39" s="63"/>
      <c r="N39" s="63"/>
      <c r="O39" s="63"/>
      <c r="P39" s="63"/>
      <c r="Q39" s="63"/>
    </row>
    <row r="40" spans="1:38">
      <c r="A40" s="63"/>
      <c r="B40" s="63"/>
      <c r="C40" s="63"/>
      <c r="D40" s="63"/>
      <c r="E40" s="63"/>
      <c r="F40" s="63"/>
      <c r="G40" s="63"/>
      <c r="H40" s="63"/>
      <c r="I40" s="63"/>
      <c r="J40" s="63"/>
      <c r="K40" s="63"/>
      <c r="L40" s="63"/>
      <c r="M40" s="63"/>
      <c r="N40" s="63"/>
      <c r="O40" s="63"/>
      <c r="P40" s="63"/>
      <c r="Q40" s="63"/>
    </row>
    <row r="41" spans="1:38">
      <c r="A41" s="63"/>
      <c r="B41" s="63"/>
      <c r="C41" s="63"/>
      <c r="D41" s="63"/>
      <c r="E41" s="63"/>
      <c r="F41" s="63"/>
      <c r="G41" s="63"/>
      <c r="H41" s="63"/>
      <c r="I41" s="63"/>
      <c r="J41" s="63"/>
      <c r="K41" s="63"/>
      <c r="L41" s="63"/>
      <c r="M41" s="63"/>
      <c r="N41" s="63"/>
      <c r="O41" s="63"/>
      <c r="P41" s="63"/>
      <c r="Q41" s="63"/>
    </row>
    <row r="42" spans="1:38">
      <c r="A42" s="63"/>
      <c r="B42" s="63"/>
      <c r="C42" s="63"/>
      <c r="D42" s="63"/>
      <c r="E42" s="63"/>
      <c r="F42" s="63"/>
      <c r="G42" s="63"/>
      <c r="H42" s="63"/>
      <c r="I42" s="63"/>
      <c r="J42" s="63"/>
      <c r="K42" s="63"/>
      <c r="L42" s="63"/>
      <c r="M42" s="63"/>
      <c r="N42" s="63"/>
      <c r="O42" s="63"/>
      <c r="P42" s="63"/>
      <c r="Q42" s="63"/>
    </row>
    <row r="43" spans="1:38">
      <c r="A43" s="63"/>
      <c r="B43" s="63"/>
      <c r="C43" s="63"/>
      <c r="D43" s="63"/>
      <c r="E43" s="63"/>
      <c r="F43" s="63"/>
      <c r="G43" s="63"/>
      <c r="H43" s="63"/>
      <c r="I43" s="63"/>
      <c r="J43" s="63"/>
      <c r="K43" s="63"/>
      <c r="L43" s="63"/>
      <c r="M43" s="63"/>
      <c r="N43" s="63"/>
      <c r="O43" s="63"/>
      <c r="P43" s="63"/>
      <c r="Q43" s="63"/>
    </row>
    <row r="44" spans="1:38">
      <c r="A44" s="63"/>
      <c r="B44" s="63"/>
      <c r="C44" s="63"/>
      <c r="D44" s="63"/>
      <c r="E44" s="63"/>
      <c r="F44" s="63"/>
      <c r="G44" s="63"/>
      <c r="H44" s="63"/>
      <c r="I44" s="63"/>
      <c r="J44" s="63"/>
      <c r="K44" s="63"/>
      <c r="L44" s="63"/>
      <c r="M44" s="63"/>
      <c r="N44" s="63"/>
      <c r="O44" s="63"/>
      <c r="P44" s="63"/>
      <c r="Q44" s="63"/>
    </row>
    <row r="45" spans="1:38">
      <c r="A45" s="63"/>
      <c r="B45" s="63"/>
      <c r="C45" s="63"/>
      <c r="D45" s="63"/>
      <c r="E45" s="63"/>
      <c r="F45" s="63"/>
      <c r="G45" s="63"/>
      <c r="H45" s="63"/>
      <c r="I45" s="63"/>
      <c r="J45" s="63"/>
      <c r="K45" s="63"/>
      <c r="L45" s="63"/>
      <c r="M45" s="63"/>
      <c r="N45" s="63"/>
      <c r="O45" s="63"/>
      <c r="P45" s="63"/>
      <c r="Q45" s="63"/>
    </row>
    <row r="46" spans="1:38">
      <c r="A46" s="63"/>
      <c r="B46" s="63"/>
      <c r="C46" s="63"/>
      <c r="D46" s="63"/>
      <c r="E46" s="63"/>
      <c r="F46" s="63"/>
      <c r="G46" s="63"/>
      <c r="H46" s="63"/>
      <c r="I46" s="63"/>
      <c r="J46" s="63"/>
      <c r="K46" s="63"/>
      <c r="L46" s="63"/>
      <c r="M46" s="63"/>
      <c r="N46" s="63"/>
      <c r="O46" s="63"/>
      <c r="P46" s="63"/>
      <c r="Q46" s="63"/>
    </row>
  </sheetData>
  <sheetProtection password="A4FF" sheet="1" objects="1" scenarios="1"/>
  <mergeCells count="3">
    <mergeCell ref="L5:M5"/>
    <mergeCell ref="U10:AK11"/>
    <mergeCell ref="U12:AK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105"/>
  <sheetViews>
    <sheetView workbookViewId="0">
      <selection activeCell="K44" sqref="K44"/>
    </sheetView>
  </sheetViews>
  <sheetFormatPr baseColWidth="10" defaultColWidth="8.83203125" defaultRowHeight="14" x14ac:dyDescent="0"/>
  <cols>
    <col min="1" max="1" width="12.83203125" customWidth="1"/>
    <col min="6" max="6" width="18.5" style="5" customWidth="1"/>
    <col min="7" max="7" width="14.1640625" style="5" customWidth="1"/>
    <col min="8" max="8" width="12.1640625" style="5" customWidth="1"/>
    <col min="9" max="9" width="10.1640625" style="5" bestFit="1" customWidth="1"/>
    <col min="10" max="10" width="9.5" bestFit="1" customWidth="1"/>
    <col min="11" max="11" width="15.33203125" customWidth="1"/>
    <col min="12" max="12" width="23.5" customWidth="1"/>
    <col min="13" max="13" width="21.6640625" customWidth="1"/>
    <col min="14" max="14" width="17.5" bestFit="1" customWidth="1"/>
    <col min="15" max="15" width="10.1640625" bestFit="1" customWidth="1"/>
    <col min="16" max="18" width="23.5" customWidth="1"/>
  </cols>
  <sheetData>
    <row r="1" spans="1:19" ht="25.5" customHeight="1">
      <c r="A1" s="1111" t="s">
        <v>278</v>
      </c>
      <c r="B1" s="1112"/>
    </row>
    <row r="2" spans="1:19" ht="28.5" customHeight="1">
      <c r="A2" s="1113" t="s">
        <v>277</v>
      </c>
      <c r="B2" s="1114"/>
    </row>
    <row r="3" spans="1:19" ht="28">
      <c r="F3" s="1203" t="s">
        <v>1044</v>
      </c>
      <c r="G3" s="1203" t="s">
        <v>378</v>
      </c>
      <c r="J3" s="735"/>
      <c r="K3" s="735"/>
      <c r="L3" s="735"/>
      <c r="M3" s="1287" t="s">
        <v>986</v>
      </c>
      <c r="N3" s="1287"/>
      <c r="O3" s="735"/>
      <c r="P3" s="735"/>
    </row>
    <row r="4" spans="1:19" ht="29.25" customHeight="1">
      <c r="A4" s="1092" t="s">
        <v>614</v>
      </c>
      <c r="F4" s="1204" t="s">
        <v>353</v>
      </c>
      <c r="G4" s="1204" t="s">
        <v>184</v>
      </c>
      <c r="J4" s="735"/>
      <c r="K4" s="735"/>
      <c r="L4" s="735"/>
      <c r="M4" s="1208" t="s">
        <v>1044</v>
      </c>
      <c r="N4" s="1208" t="s">
        <v>378</v>
      </c>
      <c r="O4" s="735"/>
      <c r="P4" s="735"/>
    </row>
    <row r="5" spans="1:19">
      <c r="A5" s="350" t="s">
        <v>478</v>
      </c>
      <c r="J5" s="735"/>
      <c r="K5" s="735"/>
      <c r="L5" s="735"/>
      <c r="M5" s="1216" t="s">
        <v>1047</v>
      </c>
      <c r="N5" s="1216" t="s">
        <v>637</v>
      </c>
      <c r="O5" s="735"/>
      <c r="P5" s="735"/>
    </row>
    <row r="6" spans="1:19">
      <c r="A6" t="s">
        <v>363</v>
      </c>
      <c r="F6" s="5">
        <f>Turkey_Nutrient!J49</f>
        <v>738085.16384882468</v>
      </c>
      <c r="G6" s="5">
        <f>Turkey_Nutrient!K49</f>
        <v>4428510.9830929479</v>
      </c>
      <c r="H6" s="1205"/>
      <c r="J6" s="734"/>
      <c r="K6" s="735"/>
      <c r="L6" s="735" t="s">
        <v>615</v>
      </c>
      <c r="M6" s="1210">
        <f>F6+F24+F40+F45+F66+F81+F94</f>
        <v>4887431.1310335053</v>
      </c>
      <c r="N6" s="1210">
        <f>G6+G24+G40+G45+G66+G81+G94</f>
        <v>29324586.786201034</v>
      </c>
      <c r="O6" s="735"/>
      <c r="P6" s="735"/>
      <c r="Q6" s="5"/>
      <c r="R6" s="5"/>
      <c r="S6" s="569"/>
    </row>
    <row r="7" spans="1:19">
      <c r="A7" t="s">
        <v>531</v>
      </c>
      <c r="F7" s="5">
        <f>Turkey_Nutrient!J50</f>
        <v>301074.15200138721</v>
      </c>
      <c r="G7" s="5">
        <f>Turkey_Nutrient!K50</f>
        <v>4215038.1280194204</v>
      </c>
      <c r="J7" s="735"/>
      <c r="K7" s="735"/>
      <c r="L7" s="735" t="s">
        <v>616</v>
      </c>
      <c r="M7" s="731">
        <f>F7+F42+F64+F82+F95</f>
        <v>1040629.6607618893</v>
      </c>
      <c r="N7" s="731">
        <f>G7+G42+G64+G82+G95</f>
        <v>14568815.250666451</v>
      </c>
      <c r="O7" s="735"/>
      <c r="P7" s="735"/>
      <c r="Q7" s="5"/>
      <c r="R7" s="5"/>
    </row>
    <row r="8" spans="1:19">
      <c r="A8" t="s">
        <v>542</v>
      </c>
      <c r="F8" s="5">
        <f>Turkey_Nutrient!J51</f>
        <v>69282.839730314867</v>
      </c>
      <c r="G8" s="5">
        <f>Turkey_Nutrient!K51</f>
        <v>0</v>
      </c>
      <c r="J8" s="735"/>
      <c r="K8" s="735"/>
      <c r="L8" s="735" t="s">
        <v>617</v>
      </c>
      <c r="M8" s="731">
        <f>F19+F53</f>
        <v>2415713.5441990243</v>
      </c>
      <c r="N8" s="731">
        <f>G19+G53</f>
        <v>12561710.429834927</v>
      </c>
      <c r="O8" s="735"/>
      <c r="P8" s="735"/>
      <c r="Q8" s="5"/>
      <c r="R8" s="5"/>
    </row>
    <row r="9" spans="1:19">
      <c r="A9" t="s">
        <v>534</v>
      </c>
      <c r="F9" s="5">
        <f>Turkey_Nutrient!J52</f>
        <v>2194.6383407132339</v>
      </c>
      <c r="G9" s="5">
        <f>Turkey_Nutrient!K52</f>
        <v>0</v>
      </c>
      <c r="J9" s="735"/>
      <c r="K9" s="735"/>
      <c r="L9" s="735" t="s">
        <v>618</v>
      </c>
      <c r="M9" s="731">
        <f>F10+F85+F100</f>
        <v>82453.432470033178</v>
      </c>
      <c r="N9" s="731">
        <f>G10+G85+G100</f>
        <v>6596274.5976026552</v>
      </c>
      <c r="O9" s="735"/>
      <c r="P9" s="735"/>
      <c r="R9" s="5"/>
    </row>
    <row r="10" spans="1:19">
      <c r="A10" t="s">
        <v>532</v>
      </c>
      <c r="F10" s="5">
        <f>Turkey_Nutrient!J53</f>
        <v>57572.373657813187</v>
      </c>
      <c r="G10" s="5">
        <f>Turkey_Nutrient!K53</f>
        <v>4605789.8926250553</v>
      </c>
      <c r="J10" s="735"/>
      <c r="K10" s="735"/>
      <c r="L10" s="735" t="s">
        <v>619</v>
      </c>
      <c r="M10" s="731">
        <f>F11+F70+F51+F25+F86+F101</f>
        <v>1680019.7377960815</v>
      </c>
      <c r="N10" s="731">
        <f>G11+G70+G51+G25+G86+G101</f>
        <v>27888327.647414949</v>
      </c>
      <c r="O10" s="735"/>
      <c r="P10" s="735"/>
      <c r="R10" s="5"/>
    </row>
    <row r="11" spans="1:19">
      <c r="A11" t="s">
        <v>234</v>
      </c>
      <c r="F11" s="5">
        <f>Turkey_Nutrient!J54</f>
        <v>117908.37295036092</v>
      </c>
      <c r="G11" s="5">
        <f>Turkey_Nutrient!K54</f>
        <v>1957278.9909759914</v>
      </c>
      <c r="J11" s="735"/>
      <c r="K11" s="735"/>
      <c r="L11" s="735" t="s">
        <v>316</v>
      </c>
      <c r="M11" s="731">
        <f>F47+F67+F88+F103</f>
        <v>80452.702892778412</v>
      </c>
      <c r="N11" s="731">
        <f>G47+G67+G88+G103</f>
        <v>32181.081157111366</v>
      </c>
      <c r="O11" s="735"/>
      <c r="P11" s="735"/>
      <c r="R11" s="5"/>
    </row>
    <row r="12" spans="1:19">
      <c r="A12" t="s">
        <v>533</v>
      </c>
      <c r="F12" s="5">
        <f>Turkey_Nutrient!J55</f>
        <v>8582.0682990473942</v>
      </c>
      <c r="G12" s="5">
        <f>Turkey_Nutrient!K55</f>
        <v>3312678.3634322942</v>
      </c>
      <c r="J12" s="735"/>
      <c r="K12" s="735"/>
      <c r="L12" s="753" t="s">
        <v>1053</v>
      </c>
      <c r="M12" s="731">
        <f>F12+F43+F55+F65+F87+F102+F13+F27+F48+F68</f>
        <v>79848.193377447576</v>
      </c>
      <c r="N12" s="731">
        <f>G12+G43+G55+G65+G87+G102+G13+G27+G48+G68</f>
        <v>7409448.4433383346</v>
      </c>
      <c r="O12" s="735"/>
      <c r="P12" s="735"/>
      <c r="R12" s="5"/>
    </row>
    <row r="13" spans="1:19">
      <c r="A13" t="s">
        <v>231</v>
      </c>
      <c r="F13" s="1217">
        <f>Turkey_Nutrient!J56</f>
        <v>37880.060538421683</v>
      </c>
      <c r="G13" s="1217">
        <f>Turkey_Nutrient!K56</f>
        <v>0</v>
      </c>
      <c r="J13" s="735"/>
      <c r="K13" s="735"/>
      <c r="L13" s="735" t="s">
        <v>364</v>
      </c>
      <c r="M13" s="731">
        <f>F63</f>
        <v>16210.079305870695</v>
      </c>
      <c r="N13" s="731">
        <f>G63</f>
        <v>129680.63444696556</v>
      </c>
      <c r="O13" s="735"/>
      <c r="P13" s="735"/>
      <c r="Q13" s="5"/>
      <c r="R13" s="5"/>
    </row>
    <row r="14" spans="1:19">
      <c r="G14" s="1026">
        <f>SUM(G6:G13)</f>
        <v>18519296.35814571</v>
      </c>
      <c r="H14" s="1205">
        <f>CONVERT(G14,"lbm","kg")</f>
        <v>8400211.5258236825</v>
      </c>
      <c r="I14" s="1205" t="s">
        <v>185</v>
      </c>
      <c r="J14" s="735"/>
      <c r="K14" s="735"/>
      <c r="L14" s="735" t="s">
        <v>620</v>
      </c>
      <c r="M14" s="731">
        <f>F38+F32</f>
        <v>18251.363800390987</v>
      </c>
      <c r="N14" s="731">
        <f>G38+G32</f>
        <v>255519.09320547379</v>
      </c>
      <c r="O14" s="735"/>
      <c r="P14" s="735"/>
      <c r="R14" s="5"/>
    </row>
    <row r="15" spans="1:19">
      <c r="J15" s="735"/>
      <c r="K15" s="735"/>
      <c r="L15" s="735" t="s">
        <v>418</v>
      </c>
      <c r="M15" s="731">
        <f>F60</f>
        <v>25125.622924099578</v>
      </c>
      <c r="N15" s="731">
        <f>G60</f>
        <v>301507.47508919495</v>
      </c>
      <c r="O15" s="735"/>
      <c r="P15" s="735"/>
      <c r="R15" s="5"/>
    </row>
    <row r="16" spans="1:19">
      <c r="A16" s="1093" t="s">
        <v>621</v>
      </c>
      <c r="J16" s="735"/>
      <c r="K16" s="735"/>
      <c r="L16" s="735" t="s">
        <v>235</v>
      </c>
      <c r="M16" s="731">
        <f>F26+F30+F31+F44</f>
        <v>2583390.5249407464</v>
      </c>
      <c r="N16" s="731">
        <f>G26+G30+G31+G44</f>
        <v>20049527.728707954</v>
      </c>
      <c r="O16" s="735"/>
      <c r="P16" s="735"/>
      <c r="Q16" s="5"/>
      <c r="R16" s="5"/>
    </row>
    <row r="17" spans="1:22">
      <c r="J17" s="735"/>
      <c r="K17" s="735"/>
      <c r="L17" s="735" t="s">
        <v>622</v>
      </c>
      <c r="M17" s="731">
        <f>F49</f>
        <v>440746.41788817296</v>
      </c>
      <c r="N17" s="731">
        <f>G49</f>
        <v>2644478.5073290379</v>
      </c>
      <c r="O17" s="735"/>
      <c r="P17" s="735"/>
      <c r="R17" s="5"/>
      <c r="V17" s="575"/>
    </row>
    <row r="18" spans="1:22">
      <c r="A18" s="350" t="s">
        <v>478</v>
      </c>
      <c r="J18" s="735"/>
      <c r="K18" s="735"/>
      <c r="L18" s="735" t="s">
        <v>623</v>
      </c>
      <c r="M18" s="731">
        <f>F54</f>
        <v>146827.705397407</v>
      </c>
      <c r="N18" s="731">
        <f>G54</f>
        <v>293655.410794814</v>
      </c>
      <c r="O18" s="735"/>
      <c r="P18" s="735"/>
      <c r="R18" s="5"/>
      <c r="V18" s="575"/>
    </row>
    <row r="19" spans="1:22">
      <c r="A19" t="s">
        <v>230</v>
      </c>
      <c r="F19" s="5">
        <f>Beef_Nutrient!R41</f>
        <v>316997.81738419412</v>
      </c>
      <c r="G19" s="5">
        <f>Beef_Nutrient!S41</f>
        <v>1648388.6503978095</v>
      </c>
      <c r="J19" s="735"/>
      <c r="K19" s="735"/>
      <c r="L19" s="735" t="s">
        <v>624</v>
      </c>
      <c r="M19" s="731">
        <f>F46+F50</f>
        <v>194209.66781912377</v>
      </c>
      <c r="N19" s="731">
        <f>G46+G50</f>
        <v>1843324.6683584147</v>
      </c>
      <c r="O19" s="735"/>
      <c r="P19" s="735"/>
      <c r="R19" s="5"/>
      <c r="V19" s="569"/>
    </row>
    <row r="20" spans="1:22">
      <c r="A20" t="s">
        <v>231</v>
      </c>
      <c r="F20" s="5">
        <f>Beef_Nutrient!R42</f>
        <v>35221.979709354899</v>
      </c>
      <c r="G20" s="5">
        <f>Beef_Nutrient!S42</f>
        <v>0</v>
      </c>
      <c r="J20" s="735"/>
      <c r="K20" s="735"/>
      <c r="L20" s="735" t="s">
        <v>534</v>
      </c>
      <c r="M20" s="731">
        <f>F9</f>
        <v>2194.6383407132339</v>
      </c>
      <c r="N20" s="731">
        <f>G9</f>
        <v>0</v>
      </c>
      <c r="O20" s="735"/>
      <c r="P20" s="735"/>
      <c r="R20" s="5"/>
      <c r="V20" s="569"/>
    </row>
    <row r="21" spans="1:22">
      <c r="A21" t="s">
        <v>237</v>
      </c>
      <c r="F21" s="5">
        <f>Beef_Nutrient!R43</f>
        <v>0</v>
      </c>
      <c r="G21" s="5">
        <f>Beef_Nutrient!S43</f>
        <v>0</v>
      </c>
      <c r="J21" s="735"/>
      <c r="K21" s="735"/>
      <c r="L21" s="735" t="s">
        <v>663</v>
      </c>
      <c r="M21" s="731">
        <f>F98</f>
        <v>3636.1161444777222</v>
      </c>
      <c r="N21" s="731">
        <f>G98</f>
        <v>94902.631370868548</v>
      </c>
      <c r="O21" s="735"/>
      <c r="P21" s="735"/>
      <c r="R21" s="5"/>
      <c r="V21" s="569"/>
    </row>
    <row r="22" spans="1:22">
      <c r="J22" s="735"/>
      <c r="K22" s="735"/>
      <c r="L22" s="735" t="s">
        <v>664</v>
      </c>
      <c r="M22" s="731">
        <f>F99</f>
        <v>43578.581645847415</v>
      </c>
      <c r="N22" s="731">
        <f>G99</f>
        <v>416611.24053430132</v>
      </c>
      <c r="O22" s="735"/>
      <c r="P22" s="735"/>
      <c r="R22" s="5"/>
    </row>
    <row r="23" spans="1:22">
      <c r="J23" s="735"/>
      <c r="K23" s="735"/>
      <c r="L23" s="735" t="s">
        <v>1052</v>
      </c>
      <c r="M23" s="1211">
        <f>F39</f>
        <v>432.89468748152331</v>
      </c>
      <c r="N23" s="1211">
        <f>G39</f>
        <v>259.73681248891398</v>
      </c>
      <c r="O23" s="735"/>
      <c r="P23" s="735"/>
      <c r="V23" s="569"/>
    </row>
    <row r="24" spans="1:22">
      <c r="A24" t="s">
        <v>233</v>
      </c>
      <c r="F24" s="5">
        <f>Beef_Nutrient!R46</f>
        <v>553114.07893423236</v>
      </c>
      <c r="G24" s="5">
        <f>Beef_Nutrient!S46</f>
        <v>3318684.4736053939</v>
      </c>
      <c r="J24" s="735"/>
      <c r="K24" s="735"/>
      <c r="L24" s="1209" t="s">
        <v>32</v>
      </c>
      <c r="M24" s="1212">
        <f>SUM(M6:M23)</f>
        <v>13741152.015425092</v>
      </c>
      <c r="N24" s="1212">
        <f>SUM(N6:N23)</f>
        <v>124410811.36286497</v>
      </c>
      <c r="O24" s="1213">
        <f>CONVERT(N24,"lbm","kg")</f>
        <v>56431794.779704854</v>
      </c>
      <c r="P24" s="1214" t="s">
        <v>185</v>
      </c>
      <c r="V24" s="569"/>
    </row>
    <row r="25" spans="1:22">
      <c r="A25" t="s">
        <v>234</v>
      </c>
      <c r="F25" s="5">
        <f>Beef_Nutrient!R47</f>
        <v>251415.49042465101</v>
      </c>
      <c r="G25" s="5">
        <f>Beef_Nutrient!S47</f>
        <v>4173497.1410492072</v>
      </c>
      <c r="J25" s="1215"/>
      <c r="K25" s="735"/>
      <c r="L25" s="1209" t="s">
        <v>1048</v>
      </c>
      <c r="M25" s="767">
        <f>M12+M7+M20+M22+M23+M14+M11+M10+M9</f>
        <v>3027861.2057726635</v>
      </c>
      <c r="N25" s="767">
        <f>N12+N7+N20+N22+N23+N14+N11+N10+N9</f>
        <v>57167437.090731762</v>
      </c>
      <c r="O25" s="1213">
        <f t="shared" ref="O25:O26" si="0">CONVERT(N25,"lbm","kg")</f>
        <v>25930713.276810925</v>
      </c>
      <c r="P25" s="1214" t="s">
        <v>185</v>
      </c>
      <c r="Q25" s="5"/>
      <c r="R25" s="5"/>
      <c r="V25" s="569"/>
    </row>
    <row r="26" spans="1:22">
      <c r="A26" t="s">
        <v>235</v>
      </c>
      <c r="F26" s="5">
        <f>Beef_Nutrient!R48</f>
        <v>181019.15310574876</v>
      </c>
      <c r="G26" s="5">
        <f>Beef_Nutrient!S48</f>
        <v>1049911.0880133428</v>
      </c>
      <c r="J26" s="735"/>
      <c r="K26" s="735"/>
      <c r="L26" s="1209" t="s">
        <v>1049</v>
      </c>
      <c r="M26" s="734">
        <f>M24-M25</f>
        <v>10713290.809652429</v>
      </c>
      <c r="N26" s="734">
        <f>N24-N25</f>
        <v>67243374.272133201</v>
      </c>
      <c r="O26" s="1213">
        <f t="shared" si="0"/>
        <v>30501081.502893925</v>
      </c>
      <c r="P26" s="1214" t="s">
        <v>185</v>
      </c>
      <c r="V26" s="569"/>
    </row>
    <row r="27" spans="1:22" ht="15" thickBot="1">
      <c r="A27" t="s">
        <v>231</v>
      </c>
      <c r="F27" s="5">
        <f>Beef_Nutrient!R49</f>
        <v>20113.239233972086</v>
      </c>
      <c r="G27" s="5">
        <f>Beef_Nutrient!S49</f>
        <v>0</v>
      </c>
      <c r="N27" s="569"/>
      <c r="V27" s="569"/>
    </row>
    <row r="28" spans="1:22" ht="15" customHeight="1">
      <c r="A28" t="s">
        <v>237</v>
      </c>
      <c r="F28" s="5">
        <f>Beef_Nutrient!R50</f>
        <v>0</v>
      </c>
      <c r="G28" s="5">
        <f>Beef_Nutrient!S50</f>
        <v>0</v>
      </c>
      <c r="L28" s="718" t="s">
        <v>650</v>
      </c>
      <c r="M28" s="719"/>
      <c r="N28" s="719"/>
      <c r="O28" s="699"/>
    </row>
    <row r="29" spans="1:22">
      <c r="A29" t="s">
        <v>625</v>
      </c>
      <c r="F29" s="5">
        <f>Beef_Nutrient!R51</f>
        <v>403694.33857765369</v>
      </c>
      <c r="G29" s="5">
        <f>Beef_Nutrient!S51</f>
        <v>706465.09251089406</v>
      </c>
      <c r="L29" s="721"/>
      <c r="M29" s="698"/>
      <c r="N29" s="698"/>
      <c r="O29" s="700"/>
    </row>
    <row r="30" spans="1:22">
      <c r="A30" t="s">
        <v>474</v>
      </c>
      <c r="F30" s="5">
        <f>Beef_Nutrient!R52</f>
        <v>998754.95664357336</v>
      </c>
      <c r="G30" s="5">
        <f>Beef_Nutrient!S52</f>
        <v>5992529.7398614408</v>
      </c>
      <c r="L30" s="1288" t="s">
        <v>1082</v>
      </c>
      <c r="M30" s="1289"/>
      <c r="N30" s="1289"/>
      <c r="O30" s="1290"/>
    </row>
    <row r="31" spans="1:22">
      <c r="A31" t="s">
        <v>475</v>
      </c>
      <c r="F31" s="5">
        <f>Beef_Nutrient!R53</f>
        <v>1158598.0220768824</v>
      </c>
      <c r="G31" s="5">
        <f>Beef_Nutrient!S53</f>
        <v>11585980.220768824</v>
      </c>
      <c r="L31" s="1291"/>
      <c r="M31" s="1289"/>
      <c r="N31" s="1289"/>
      <c r="O31" s="1290"/>
    </row>
    <row r="32" spans="1:22" ht="15" thickBot="1">
      <c r="A32" t="s">
        <v>306</v>
      </c>
      <c r="F32" s="1217">
        <f>Beef_Nutrient!R54</f>
        <v>7428.9966133529042</v>
      </c>
      <c r="G32" s="1217">
        <f>Beef_Nutrient!S54</f>
        <v>104005.95258694065</v>
      </c>
      <c r="L32" s="1292"/>
      <c r="M32" s="1293"/>
      <c r="N32" s="1293"/>
      <c r="O32" s="1294"/>
    </row>
    <row r="33" spans="1:14">
      <c r="G33" s="1026">
        <f>SUM(G19:G32)</f>
        <v>28579462.358793855</v>
      </c>
      <c r="H33" s="1026">
        <f>G33-G29</f>
        <v>27872997.266282961</v>
      </c>
      <c r="I33" s="1205">
        <f>CONVERT(H33,"lbm","kg")</f>
        <v>12642978.889016809</v>
      </c>
      <c r="J33" s="690" t="s">
        <v>185</v>
      </c>
      <c r="N33" s="564"/>
    </row>
    <row r="34" spans="1:14">
      <c r="G34" s="1206" t="s">
        <v>1045</v>
      </c>
      <c r="H34" s="1206" t="s">
        <v>1046</v>
      </c>
      <c r="K34" s="564"/>
      <c r="N34" s="680"/>
    </row>
    <row r="35" spans="1:14">
      <c r="N35" s="680"/>
    </row>
    <row r="36" spans="1:14">
      <c r="A36" s="1094" t="s">
        <v>626</v>
      </c>
    </row>
    <row r="37" spans="1:14">
      <c r="A37" s="350" t="s">
        <v>478</v>
      </c>
    </row>
    <row r="38" spans="1:14">
      <c r="A38" t="s">
        <v>306</v>
      </c>
      <c r="F38" s="5">
        <f>Dairy_Nutrient!G48</f>
        <v>10822.367187038082</v>
      </c>
      <c r="G38" s="5">
        <f>Dairy_Nutrient!H48</f>
        <v>151513.14061853313</v>
      </c>
    </row>
    <row r="39" spans="1:14">
      <c r="A39" t="s">
        <v>329</v>
      </c>
      <c r="F39" s="5">
        <f>Dairy_Nutrient!G49</f>
        <v>432.89468748152331</v>
      </c>
      <c r="G39" s="5">
        <f>Dairy_Nutrient!H49</f>
        <v>259.73681248891398</v>
      </c>
    </row>
    <row r="40" spans="1:14">
      <c r="A40" t="s">
        <v>309</v>
      </c>
      <c r="F40" s="5">
        <f>Dairy_Nutrient!G50</f>
        <v>56233.019903849869</v>
      </c>
      <c r="G40" s="5">
        <f>Dairy_Nutrient!H50</f>
        <v>337398.11942309921</v>
      </c>
    </row>
    <row r="41" spans="1:14">
      <c r="A41" t="s">
        <v>310</v>
      </c>
      <c r="F41" s="5">
        <f>Dairy_Nutrient!G51</f>
        <v>0</v>
      </c>
      <c r="G41" s="5">
        <f>Dairy_Nutrient!H51</f>
        <v>0</v>
      </c>
    </row>
    <row r="42" spans="1:14">
      <c r="A42" t="s">
        <v>311</v>
      </c>
      <c r="F42" s="5">
        <f>Dairy_Nutrient!G52</f>
        <v>99159.444798235068</v>
      </c>
      <c r="G42" s="5">
        <f>Dairy_Nutrient!H52</f>
        <v>1388232.2271752912</v>
      </c>
    </row>
    <row r="43" spans="1:14">
      <c r="A43" t="s">
        <v>312</v>
      </c>
      <c r="F43" s="5">
        <f>Dairy_Nutrient!G53</f>
        <v>229.43418436520736</v>
      </c>
      <c r="G43" s="5">
        <f>Dairy_Nutrient!H53</f>
        <v>88561.595164970044</v>
      </c>
    </row>
    <row r="44" spans="1:14">
      <c r="A44" t="s">
        <v>313</v>
      </c>
      <c r="F44" s="5">
        <f>Dairy_Nutrient!G54</f>
        <v>245018.39311454221</v>
      </c>
      <c r="G44" s="5">
        <f>Dairy_Nutrient!H54</f>
        <v>1421106.6800643448</v>
      </c>
    </row>
    <row r="45" spans="1:14">
      <c r="A45" t="s">
        <v>314</v>
      </c>
      <c r="F45" s="5">
        <f>Dairy_Nutrient!G55</f>
        <v>594040.69510310167</v>
      </c>
      <c r="G45" s="5">
        <f>Dairy_Nutrient!H55</f>
        <v>3564244.1706186095</v>
      </c>
    </row>
    <row r="46" spans="1:14">
      <c r="A46" t="s">
        <v>315</v>
      </c>
      <c r="F46" s="5">
        <f>Dairy_Nutrient!G56</f>
        <v>68357.34890706063</v>
      </c>
      <c r="G46" s="5">
        <f>Dairy_Nutrient!H56</f>
        <v>232414.98628400613</v>
      </c>
    </row>
    <row r="47" spans="1:14">
      <c r="A47" t="s">
        <v>316</v>
      </c>
      <c r="F47" s="5">
        <f>Dairy_Nutrient!G57</f>
        <v>1216.4340718230803</v>
      </c>
      <c r="G47" s="5">
        <f>Dairy_Nutrient!H57</f>
        <v>486.57362872923215</v>
      </c>
    </row>
    <row r="48" spans="1:14">
      <c r="A48" t="s">
        <v>317</v>
      </c>
      <c r="F48" s="5">
        <f>Dairy_Nutrient!G58</f>
        <v>1277.0393280704936</v>
      </c>
      <c r="G48" s="5">
        <f>Dairy_Nutrient!H58</f>
        <v>0</v>
      </c>
    </row>
    <row r="49" spans="1:9">
      <c r="A49" t="s">
        <v>318</v>
      </c>
      <c r="F49" s="5">
        <f>Dairy_Nutrient!G59</f>
        <v>440746.41788817296</v>
      </c>
      <c r="G49" s="5">
        <f>Dairy_Nutrient!H59</f>
        <v>2644478.5073290379</v>
      </c>
    </row>
    <row r="50" spans="1:9">
      <c r="A50" t="s">
        <v>319</v>
      </c>
      <c r="F50" s="5">
        <f>Dairy_Nutrient!G60</f>
        <v>125852.31891206316</v>
      </c>
      <c r="G50" s="5">
        <f>Dairy_Nutrient!H60</f>
        <v>1610909.6820744085</v>
      </c>
    </row>
    <row r="51" spans="1:9">
      <c r="A51" t="s">
        <v>320</v>
      </c>
      <c r="F51" s="5">
        <f>Dairy_Nutrient!G61</f>
        <v>296823.90606532007</v>
      </c>
      <c r="G51" s="5">
        <f>Dairy_Nutrient!H61</f>
        <v>4927276.8406843133</v>
      </c>
    </row>
    <row r="52" spans="1:9">
      <c r="A52" t="s">
        <v>327</v>
      </c>
      <c r="F52" s="5">
        <f>Dairy_Nutrient!G62</f>
        <v>0</v>
      </c>
      <c r="G52" s="5">
        <f>Dairy_Nutrient!H62</f>
        <v>0</v>
      </c>
    </row>
    <row r="53" spans="1:9">
      <c r="A53" t="s">
        <v>282</v>
      </c>
      <c r="F53" s="5">
        <f>Dairy_Nutrient!G63</f>
        <v>2098715.7268148302</v>
      </c>
      <c r="G53" s="5">
        <f>Dairy_Nutrient!H63</f>
        <v>10913321.779437117</v>
      </c>
    </row>
    <row r="54" spans="1:9">
      <c r="A54" t="s">
        <v>285</v>
      </c>
      <c r="F54" s="5">
        <f>Dairy_Nutrient!G64</f>
        <v>146827.705397407</v>
      </c>
      <c r="G54" s="5">
        <f>Dairy_Nutrient!H64</f>
        <v>293655.410794814</v>
      </c>
    </row>
    <row r="55" spans="1:9">
      <c r="A55" t="s">
        <v>286</v>
      </c>
      <c r="F55" s="1217">
        <f>Dairy_Nutrient!G65</f>
        <v>1385.2629999408748</v>
      </c>
      <c r="G55" s="1217">
        <f>Dairy_Nutrient!H65</f>
        <v>1108.2103999526998</v>
      </c>
    </row>
    <row r="56" spans="1:9">
      <c r="G56" s="1026">
        <f>SUM(G38:G55)</f>
        <v>27574967.660509713</v>
      </c>
      <c r="H56" s="1205">
        <f>CONVERT(G56,"lbm","kg")</f>
        <v>12507794.933803957</v>
      </c>
      <c r="I56" s="1205" t="s">
        <v>185</v>
      </c>
    </row>
    <row r="57" spans="1:9">
      <c r="G57" s="597"/>
      <c r="H57" s="1205"/>
      <c r="I57" s="1205"/>
    </row>
    <row r="58" spans="1:9">
      <c r="A58" s="1095" t="s">
        <v>982</v>
      </c>
    </row>
    <row r="59" spans="1:9">
      <c r="A59" s="350" t="s">
        <v>478</v>
      </c>
    </row>
    <row r="60" spans="1:9">
      <c r="A60" t="s">
        <v>418</v>
      </c>
      <c r="F60" s="5">
        <f>Swine_Nutrient!K50</f>
        <v>25125.622924099578</v>
      </c>
      <c r="G60" s="5">
        <f>Swine_Nutrient!L50</f>
        <v>301507.47508919495</v>
      </c>
    </row>
    <row r="61" spans="1:9">
      <c r="A61" t="s">
        <v>422</v>
      </c>
      <c r="F61" s="5">
        <f>Swine_Nutrient!K51</f>
        <v>0</v>
      </c>
      <c r="G61" s="5">
        <f>Swine_Nutrient!L51</f>
        <v>0</v>
      </c>
    </row>
    <row r="62" spans="1:9">
      <c r="A62" t="s">
        <v>421</v>
      </c>
      <c r="F62" s="5">
        <f>Swine_Nutrient!K52</f>
        <v>20536.568185765904</v>
      </c>
      <c r="G62" s="5">
        <f>Swine_Nutrient!L52</f>
        <v>0</v>
      </c>
    </row>
    <row r="63" spans="1:9">
      <c r="A63" t="s">
        <v>310</v>
      </c>
      <c r="F63" s="5">
        <f>Swine_Nutrient!K53</f>
        <v>16210.079305870695</v>
      </c>
      <c r="G63" s="5">
        <f>Swine_Nutrient!L53</f>
        <v>129680.63444696556</v>
      </c>
    </row>
    <row r="64" spans="1:9">
      <c r="A64" t="s">
        <v>311</v>
      </c>
      <c r="F64" s="5">
        <f>Swine_Nutrient!K54</f>
        <v>510597.45658465842</v>
      </c>
      <c r="G64" s="5">
        <f>Swine_Nutrient!L54</f>
        <v>7148364.3921852186</v>
      </c>
    </row>
    <row r="65" spans="1:10">
      <c r="A65" t="s">
        <v>312</v>
      </c>
      <c r="F65" s="5">
        <f>Swine_Nutrient!K55</f>
        <v>8116.9169973825146</v>
      </c>
      <c r="G65" s="5">
        <f>Swine_Nutrient!L55</f>
        <v>3133129.9609896503</v>
      </c>
    </row>
    <row r="66" spans="1:10">
      <c r="A66" t="s">
        <v>314</v>
      </c>
      <c r="F66" s="5">
        <f>Swine_Nutrient!K56</f>
        <v>2600219.9768406786</v>
      </c>
      <c r="G66" s="5">
        <f>Swine_Nutrient!L56</f>
        <v>15601319.861044072</v>
      </c>
    </row>
    <row r="67" spans="1:10">
      <c r="A67" t="s">
        <v>316</v>
      </c>
      <c r="F67" s="5">
        <f>Swine_Nutrient!K57</f>
        <v>37401.775877589171</v>
      </c>
      <c r="G67" s="5">
        <f>Swine_Nutrient!L57</f>
        <v>14960.71035103567</v>
      </c>
    </row>
    <row r="68" spans="1:10">
      <c r="A68" t="s">
        <v>317</v>
      </c>
      <c r="F68" s="5">
        <f>Swine_Nutrient!K58</f>
        <v>0</v>
      </c>
      <c r="G68" s="5">
        <f>Swine_Nutrient!L58</f>
        <v>0</v>
      </c>
    </row>
    <row r="69" spans="1:10">
      <c r="A69" t="s">
        <v>319</v>
      </c>
      <c r="F69" s="5">
        <f>Swine_Nutrient!K59</f>
        <v>0</v>
      </c>
      <c r="G69" s="5">
        <f>Swine_Nutrient!L59</f>
        <v>0</v>
      </c>
    </row>
    <row r="70" spans="1:10">
      <c r="A70" t="s">
        <v>320</v>
      </c>
      <c r="F70" s="5">
        <f>Swine_Nutrient!K60</f>
        <v>950534.37901925447</v>
      </c>
      <c r="G70" s="5">
        <f>Swine_Nutrient!L60</f>
        <v>15778870.691719623</v>
      </c>
    </row>
    <row r="71" spans="1:10">
      <c r="A71" t="s">
        <v>424</v>
      </c>
      <c r="F71" s="5">
        <f>Swine_Nutrient!K61</f>
        <v>15402.139160124396</v>
      </c>
      <c r="G71" s="5">
        <f>Swine_Nutrient!L61</f>
        <v>0</v>
      </c>
    </row>
    <row r="72" spans="1:10">
      <c r="A72" t="s">
        <v>428</v>
      </c>
      <c r="F72" s="5">
        <f>Swine_Nutrient!K62</f>
        <v>0</v>
      </c>
      <c r="G72" s="5">
        <f>Swine_Nutrient!L62</f>
        <v>0</v>
      </c>
    </row>
    <row r="73" spans="1:10">
      <c r="A73" t="s">
        <v>286</v>
      </c>
      <c r="F73" s="5">
        <f>Swine_Nutrient!K63</f>
        <v>0</v>
      </c>
      <c r="G73" s="5">
        <f>Swine_Nutrient!L63</f>
        <v>0</v>
      </c>
    </row>
    <row r="74" spans="1:10">
      <c r="A74" t="s">
        <v>439</v>
      </c>
      <c r="F74" s="5">
        <f>Swine_Nutrient!K64</f>
        <v>2449.5230951093495</v>
      </c>
      <c r="G74" s="5">
        <f>Swine_Nutrient!L64</f>
        <v>0</v>
      </c>
    </row>
    <row r="75" spans="1:10">
      <c r="A75" t="s">
        <v>627</v>
      </c>
      <c r="F75" s="1217">
        <f>Swine_Nutrient!K65</f>
        <v>61997.120773802286</v>
      </c>
      <c r="G75" s="1217">
        <f>Swine_Nutrient!L65</f>
        <v>1191584.6612724799</v>
      </c>
    </row>
    <row r="76" spans="1:10">
      <c r="G76" s="1026">
        <f>SUM(G60:G75)</f>
        <v>43299418.387098238</v>
      </c>
      <c r="H76" s="1026">
        <f>G76-G75</f>
        <v>42107833.725825757</v>
      </c>
      <c r="I76" s="1205">
        <f>CONVERT(H76,"lbm","kg")</f>
        <v>19099792.095263235</v>
      </c>
      <c r="J76" s="690" t="s">
        <v>185</v>
      </c>
    </row>
    <row r="77" spans="1:10">
      <c r="G77" s="1206" t="s">
        <v>1045</v>
      </c>
      <c r="H77" s="1206" t="s">
        <v>1046</v>
      </c>
    </row>
    <row r="79" spans="1:10">
      <c r="A79" s="1091" t="s">
        <v>983</v>
      </c>
    </row>
    <row r="80" spans="1:10">
      <c r="A80" s="350" t="s">
        <v>478</v>
      </c>
    </row>
    <row r="81" spans="1:9">
      <c r="A81" t="s">
        <v>363</v>
      </c>
      <c r="F81" s="5">
        <f>Broiler_Nutrient!F51</f>
        <v>140791.14573767627</v>
      </c>
      <c r="G81" s="5">
        <f>Broiler_Nutrient!G51</f>
        <v>844746.87442605756</v>
      </c>
    </row>
    <row r="82" spans="1:9">
      <c r="A82" t="s">
        <v>531</v>
      </c>
      <c r="F82" s="5">
        <f>Broiler_Nutrient!F52</f>
        <v>62782.560066994301</v>
      </c>
      <c r="G82" s="5">
        <f>Broiler_Nutrient!G52</f>
        <v>878955.84093792026</v>
      </c>
    </row>
    <row r="83" spans="1:9">
      <c r="A83" t="s">
        <v>542</v>
      </c>
      <c r="F83" s="5">
        <f>Broiler_Nutrient!F53</f>
        <v>6349.1206873695864</v>
      </c>
      <c r="G83" s="5">
        <f>Broiler_Nutrient!G53</f>
        <v>0</v>
      </c>
    </row>
    <row r="84" spans="1:9">
      <c r="A84" t="s">
        <v>534</v>
      </c>
      <c r="F84" s="5">
        <f>Broiler_Nutrient!F54</f>
        <v>1862.9634310669687</v>
      </c>
      <c r="G84" s="5">
        <f>Broiler_Nutrient!G54</f>
        <v>0</v>
      </c>
    </row>
    <row r="85" spans="1:9">
      <c r="A85" t="s">
        <v>532</v>
      </c>
      <c r="F85" s="5">
        <f>Broiler_Nutrient!F55</f>
        <v>10052.774421668513</v>
      </c>
      <c r="G85" s="5">
        <f>Broiler_Nutrient!G55</f>
        <v>804221.95373348112</v>
      </c>
    </row>
    <row r="86" spans="1:9">
      <c r="A86" t="s">
        <v>234</v>
      </c>
      <c r="F86" s="5">
        <f>Broiler_Nutrient!F56</f>
        <v>19089.689533357894</v>
      </c>
      <c r="G86" s="5">
        <f>Broiler_Nutrient!G56</f>
        <v>316888.84625374107</v>
      </c>
    </row>
    <row r="87" spans="1:9">
      <c r="A87" t="s">
        <v>533</v>
      </c>
      <c r="F87" s="5">
        <f>Broiler_Nutrient!F57</f>
        <v>124.19756207113127</v>
      </c>
      <c r="G87" s="5">
        <f>Broiler_Nutrient!G57</f>
        <v>47940.258959456667</v>
      </c>
    </row>
    <row r="88" spans="1:9">
      <c r="A88" t="s">
        <v>606</v>
      </c>
      <c r="F88" s="5">
        <f>Broiler_Nutrient!F58</f>
        <v>21.163735624565291</v>
      </c>
      <c r="G88" s="5">
        <f>Broiler_Nutrient!G58</f>
        <v>8.4654942498261168</v>
      </c>
    </row>
    <row r="89" spans="1:9">
      <c r="A89" t="s">
        <v>231</v>
      </c>
      <c r="F89" s="1217">
        <f>Broiler_Nutrient!F59</f>
        <v>4221.0253443032807</v>
      </c>
      <c r="G89" s="1217">
        <f>Broiler_Nutrient!G59</f>
        <v>0</v>
      </c>
    </row>
    <row r="90" spans="1:9">
      <c r="G90" s="1026">
        <f>SUM(G81:G89)</f>
        <v>2892762.2398049068</v>
      </c>
      <c r="H90" s="1205">
        <f>CONVERT(G90,"lbm","kg")</f>
        <v>1312134.8801996158</v>
      </c>
      <c r="I90" s="690" t="s">
        <v>185</v>
      </c>
    </row>
    <row r="92" spans="1:9">
      <c r="A92" s="1090" t="s">
        <v>984</v>
      </c>
    </row>
    <row r="93" spans="1:9">
      <c r="A93" s="350" t="s">
        <v>478</v>
      </c>
    </row>
    <row r="94" spans="1:9">
      <c r="A94" t="s">
        <v>363</v>
      </c>
      <c r="F94" s="5">
        <f>Egg_Nutrient!J55</f>
        <v>204947.05066514199</v>
      </c>
      <c r="G94" s="5">
        <f>Egg_Nutrient!K55</f>
        <v>1229682.3039908521</v>
      </c>
    </row>
    <row r="95" spans="1:9">
      <c r="A95" t="s">
        <v>531</v>
      </c>
      <c r="F95" s="5">
        <f>Egg_Nutrient!J56</f>
        <v>67016.047310614245</v>
      </c>
      <c r="G95" s="5">
        <f>Egg_Nutrient!K56</f>
        <v>938224.66234859952</v>
      </c>
    </row>
    <row r="96" spans="1:9">
      <c r="A96" t="s">
        <v>542</v>
      </c>
      <c r="F96" s="5">
        <f>Egg_Nutrient!J57</f>
        <v>3352.6700892175754</v>
      </c>
      <c r="G96" s="5">
        <f>Egg_Nutrient!K57</f>
        <v>0</v>
      </c>
    </row>
    <row r="97" spans="1:9">
      <c r="A97" t="s">
        <v>534</v>
      </c>
      <c r="F97" s="5">
        <f>Egg_Nutrient!J58</f>
        <v>0</v>
      </c>
      <c r="G97" s="5">
        <f>Egg_Nutrient!K58</f>
        <v>0</v>
      </c>
    </row>
    <row r="98" spans="1:9">
      <c r="A98" t="s">
        <v>663</v>
      </c>
      <c r="F98" s="5">
        <f>Egg_Nutrient!J59</f>
        <v>3636.1161444777222</v>
      </c>
      <c r="G98" s="5">
        <f>Egg_Nutrient!K59</f>
        <v>94902.631370868548</v>
      </c>
    </row>
    <row r="99" spans="1:9">
      <c r="A99" t="s">
        <v>664</v>
      </c>
      <c r="F99" s="5">
        <f>Egg_Nutrient!J60</f>
        <v>43578.581645847415</v>
      </c>
      <c r="G99" s="5">
        <f>Egg_Nutrient!K60</f>
        <v>416611.24053430132</v>
      </c>
    </row>
    <row r="100" spans="1:9">
      <c r="A100" t="s">
        <v>532</v>
      </c>
      <c r="F100" s="5">
        <f>Egg_Nutrient!J61</f>
        <v>14828.284390551476</v>
      </c>
      <c r="G100" s="5">
        <f>Egg_Nutrient!K61</f>
        <v>1186262.7512441182</v>
      </c>
    </row>
    <row r="101" spans="1:9">
      <c r="A101" t="s">
        <v>234</v>
      </c>
      <c r="F101" s="5">
        <f>Egg_Nutrient!J62</f>
        <v>44247.899803136883</v>
      </c>
      <c r="G101" s="5">
        <f>Egg_Nutrient!K62</f>
        <v>734515.13673207234</v>
      </c>
    </row>
    <row r="102" spans="1:9">
      <c r="A102" t="s">
        <v>533</v>
      </c>
      <c r="F102" s="5">
        <f>Egg_Nutrient!J63</f>
        <v>2139.974234176193</v>
      </c>
      <c r="G102" s="5">
        <f>Egg_Nutrient!K63</f>
        <v>826030.05439201056</v>
      </c>
    </row>
    <row r="103" spans="1:9">
      <c r="A103" t="s">
        <v>606</v>
      </c>
      <c r="F103" s="5">
        <f>Egg_Nutrient!J64</f>
        <v>41813.329207741604</v>
      </c>
      <c r="G103" s="5">
        <f>Egg_Nutrient!K64</f>
        <v>16725.33168309664</v>
      </c>
    </row>
    <row r="104" spans="1:9">
      <c r="A104" t="s">
        <v>231</v>
      </c>
      <c r="F104" s="1217">
        <f>Egg_Nutrient!J65</f>
        <v>4102.8240303840366</v>
      </c>
      <c r="G104" s="1217">
        <f>Egg_Nutrient!K65</f>
        <v>0</v>
      </c>
    </row>
    <row r="105" spans="1:9">
      <c r="G105" s="1026">
        <f>SUM(G94:G104)</f>
        <v>5442954.11229592</v>
      </c>
      <c r="H105" s="1205">
        <f>CONVERT(G105,"lbm","kg")</f>
        <v>2468882.4555975529</v>
      </c>
      <c r="I105" s="690" t="s">
        <v>185</v>
      </c>
    </row>
  </sheetData>
  <sheetProtection password="A4FF" sheet="1" objects="1" scenarios="1"/>
  <mergeCells count="2">
    <mergeCell ref="M3:N3"/>
    <mergeCell ref="L30:O3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9" tint="0.59999389629810485"/>
  </sheetPr>
  <dimension ref="A1:W29"/>
  <sheetViews>
    <sheetView workbookViewId="0">
      <selection activeCell="B20" sqref="B20"/>
    </sheetView>
  </sheetViews>
  <sheetFormatPr baseColWidth="10" defaultColWidth="8.83203125" defaultRowHeight="14" x14ac:dyDescent="0"/>
  <cols>
    <col min="1" max="1" width="30.5" customWidth="1"/>
    <col min="2" max="2" width="13.33203125" bestFit="1" customWidth="1"/>
    <col min="3" max="3" width="12.6640625" bestFit="1" customWidth="1"/>
    <col min="4" max="4" width="12.6640625" customWidth="1"/>
    <col min="5" max="5" width="10.1640625" bestFit="1" customWidth="1"/>
    <col min="7" max="7" width="11" bestFit="1" customWidth="1"/>
  </cols>
  <sheetData>
    <row r="1" spans="1:23" ht="19" thickBot="1">
      <c r="A1" s="705" t="s">
        <v>278</v>
      </c>
      <c r="B1" s="561"/>
      <c r="E1" s="8"/>
      <c r="F1" s="8"/>
      <c r="G1" s="8"/>
      <c r="H1" s="8"/>
      <c r="I1" s="8"/>
      <c r="J1" s="8"/>
      <c r="K1" s="8"/>
      <c r="L1" s="8"/>
      <c r="M1" s="8"/>
      <c r="N1" s="8"/>
      <c r="O1" s="8"/>
      <c r="P1" s="8"/>
      <c r="Q1" s="8"/>
      <c r="R1" s="8"/>
      <c r="S1" s="8"/>
      <c r="T1" s="8"/>
      <c r="U1" s="8"/>
      <c r="V1" s="8"/>
      <c r="W1" s="8"/>
    </row>
    <row r="2" spans="1:23" ht="19" thickBot="1">
      <c r="A2" s="729" t="s">
        <v>277</v>
      </c>
      <c r="B2" s="561"/>
      <c r="E2" s="718" t="s">
        <v>650</v>
      </c>
      <c r="F2" s="719"/>
      <c r="G2" s="719"/>
      <c r="H2" s="719"/>
      <c r="I2" s="719"/>
      <c r="J2" s="719"/>
      <c r="K2" s="719"/>
      <c r="L2" s="719"/>
      <c r="M2" s="719"/>
      <c r="N2" s="719"/>
      <c r="O2" s="719"/>
      <c r="P2" s="719"/>
      <c r="Q2" s="719"/>
      <c r="R2" s="719"/>
      <c r="S2" s="719"/>
      <c r="T2" s="719"/>
      <c r="U2" s="719"/>
      <c r="V2" s="719"/>
      <c r="W2" s="699"/>
    </row>
    <row r="3" spans="1:23" ht="19" thickBot="1">
      <c r="A3" s="747" t="s">
        <v>654</v>
      </c>
      <c r="B3" s="706"/>
      <c r="C3" s="299"/>
      <c r="D3" s="8"/>
      <c r="E3" s="721"/>
      <c r="F3" s="698"/>
      <c r="G3" s="698"/>
      <c r="H3" s="698"/>
      <c r="I3" s="698"/>
      <c r="J3" s="698"/>
      <c r="K3" s="698"/>
      <c r="L3" s="698"/>
      <c r="M3" s="698"/>
      <c r="N3" s="698"/>
      <c r="O3" s="698"/>
      <c r="P3" s="698"/>
      <c r="Q3" s="698"/>
      <c r="R3" s="698"/>
      <c r="S3" s="698"/>
      <c r="T3" s="698"/>
      <c r="U3" s="698"/>
      <c r="V3" s="698"/>
      <c r="W3" s="700"/>
    </row>
    <row r="4" spans="1:23">
      <c r="A4" s="208"/>
      <c r="B4" s="676"/>
      <c r="C4" s="674"/>
      <c r="D4" s="674"/>
      <c r="E4" s="744" t="s">
        <v>715</v>
      </c>
      <c r="F4" s="697"/>
      <c r="G4" s="697"/>
      <c r="H4" s="697"/>
      <c r="I4" s="697"/>
      <c r="J4" s="697"/>
      <c r="K4" s="697"/>
      <c r="L4" s="697"/>
      <c r="M4" s="697"/>
      <c r="N4" s="697"/>
      <c r="O4" s="697"/>
      <c r="P4" s="697"/>
      <c r="Q4" s="697"/>
      <c r="R4" s="698"/>
      <c r="S4" s="698"/>
      <c r="T4" s="698"/>
      <c r="U4" s="698"/>
      <c r="V4" s="698"/>
      <c r="W4" s="700"/>
    </row>
    <row r="5" spans="1:23">
      <c r="A5" s="730" t="s">
        <v>648</v>
      </c>
      <c r="B5" s="731">
        <f>(B6*(5/3))</f>
        <v>17328333.333333336</v>
      </c>
      <c r="C5" s="599"/>
      <c r="D5" s="599"/>
      <c r="E5" s="720"/>
      <c r="F5" s="701"/>
      <c r="G5" s="698"/>
      <c r="H5" s="698"/>
      <c r="I5" s="698"/>
      <c r="J5" s="698"/>
      <c r="K5" s="698"/>
      <c r="L5" s="698"/>
      <c r="M5" s="698"/>
      <c r="N5" s="698"/>
      <c r="O5" s="698"/>
      <c r="P5" s="698"/>
      <c r="Q5" s="698"/>
      <c r="R5" s="698"/>
      <c r="S5" s="698"/>
      <c r="T5" s="698"/>
      <c r="U5" s="698"/>
      <c r="V5" s="698"/>
      <c r="W5" s="700"/>
    </row>
    <row r="6" spans="1:23">
      <c r="A6" s="707" t="s">
        <v>713</v>
      </c>
      <c r="B6" s="766">
        <v>10397000</v>
      </c>
      <c r="C6" s="599"/>
      <c r="D6" s="599"/>
      <c r="E6" s="741" t="s">
        <v>712</v>
      </c>
      <c r="F6" s="701"/>
      <c r="G6" s="698"/>
      <c r="H6" s="698"/>
      <c r="I6" s="698"/>
      <c r="J6" s="698"/>
      <c r="K6" s="698"/>
      <c r="L6" s="698"/>
      <c r="M6" s="698"/>
      <c r="N6" s="698"/>
      <c r="O6" s="698"/>
      <c r="P6" s="698"/>
      <c r="Q6" s="698"/>
      <c r="R6" s="698"/>
      <c r="S6" s="698"/>
      <c r="T6" s="698"/>
      <c r="U6" s="698"/>
      <c r="V6" s="698"/>
      <c r="W6" s="700"/>
    </row>
    <row r="7" spans="1:23">
      <c r="A7" s="732" t="s">
        <v>653</v>
      </c>
      <c r="B7" s="731">
        <f>(B6/0.93)-B6</f>
        <v>782569.89247311838</v>
      </c>
      <c r="C7" s="599"/>
      <c r="D7" s="599"/>
      <c r="E7" s="720"/>
      <c r="F7" s="725" t="s">
        <v>716</v>
      </c>
      <c r="G7" s="739"/>
      <c r="H7" s="698"/>
      <c r="I7" s="698"/>
      <c r="J7" s="698"/>
      <c r="K7" s="698"/>
      <c r="L7" s="698"/>
      <c r="M7" s="698"/>
      <c r="N7" s="698"/>
      <c r="O7" s="698"/>
      <c r="P7" s="698"/>
      <c r="Q7" s="698"/>
      <c r="R7" s="698"/>
      <c r="S7" s="698"/>
      <c r="T7" s="698"/>
      <c r="U7" s="698"/>
      <c r="V7" s="698"/>
      <c r="W7" s="700"/>
    </row>
    <row r="8" spans="1:23">
      <c r="A8" s="732" t="s">
        <v>649</v>
      </c>
      <c r="B8" s="731">
        <f>B6*(2/3)</f>
        <v>6931333.333333333</v>
      </c>
      <c r="C8" s="599"/>
      <c r="D8" s="599"/>
      <c r="E8" s="720"/>
      <c r="F8" s="725" t="s">
        <v>717</v>
      </c>
      <c r="G8" s="698"/>
      <c r="H8" s="698"/>
      <c r="I8" s="698"/>
      <c r="J8" s="698"/>
      <c r="K8" s="698"/>
      <c r="L8" s="698"/>
      <c r="M8" s="698"/>
      <c r="N8" s="698"/>
      <c r="O8" s="698"/>
      <c r="P8" s="698"/>
      <c r="Q8" s="698"/>
      <c r="R8" s="698"/>
      <c r="S8" s="698"/>
      <c r="T8" s="698"/>
      <c r="U8" s="698"/>
      <c r="V8" s="698"/>
      <c r="W8" s="700"/>
    </row>
    <row r="9" spans="1:23">
      <c r="A9" s="208"/>
      <c r="B9" s="676"/>
      <c r="C9" s="599"/>
      <c r="D9" s="599"/>
      <c r="E9" s="720"/>
      <c r="F9" s="701"/>
      <c r="G9" s="698"/>
      <c r="H9" s="698"/>
      <c r="I9" s="698"/>
      <c r="J9" s="698"/>
      <c r="K9" s="698"/>
      <c r="L9" s="698"/>
      <c r="M9" s="698"/>
      <c r="N9" s="698"/>
      <c r="O9" s="698"/>
      <c r="P9" s="698"/>
      <c r="Q9" s="698"/>
      <c r="R9" s="698"/>
      <c r="S9" s="698"/>
      <c r="T9" s="698"/>
      <c r="U9" s="698"/>
      <c r="V9" s="698"/>
      <c r="W9" s="700"/>
    </row>
    <row r="10" spans="1:23">
      <c r="A10" s="682"/>
      <c r="B10" s="676"/>
      <c r="C10" s="599"/>
      <c r="D10" s="599"/>
      <c r="E10" s="742" t="s">
        <v>714</v>
      </c>
      <c r="F10" s="697"/>
      <c r="G10" s="697"/>
      <c r="H10" s="697"/>
      <c r="I10" s="698"/>
      <c r="J10" s="698"/>
      <c r="K10" s="698"/>
      <c r="L10" s="698"/>
      <c r="M10" s="698"/>
      <c r="N10" s="698"/>
      <c r="O10" s="698"/>
      <c r="P10" s="698"/>
      <c r="Q10" s="698"/>
      <c r="R10" s="698"/>
      <c r="S10" s="698"/>
      <c r="T10" s="698"/>
      <c r="U10" s="698"/>
      <c r="V10" s="698"/>
      <c r="W10" s="700"/>
    </row>
    <row r="11" spans="1:23">
      <c r="A11" s="733" t="s">
        <v>651</v>
      </c>
      <c r="B11" s="731">
        <f>(B12*2)/0.93</f>
        <v>7503056.5376344072</v>
      </c>
      <c r="C11" s="603"/>
      <c r="D11" s="603"/>
      <c r="E11" s="742"/>
      <c r="F11" s="697"/>
      <c r="G11" s="697"/>
      <c r="H11" s="697"/>
      <c r="I11" s="698"/>
      <c r="J11" s="698"/>
      <c r="K11" s="698"/>
      <c r="L11" s="698"/>
      <c r="M11" s="698"/>
      <c r="N11" s="698"/>
      <c r="O11" s="698"/>
      <c r="P11" s="698"/>
      <c r="Q11" s="698"/>
      <c r="R11" s="698"/>
      <c r="S11" s="698"/>
      <c r="T11" s="698"/>
      <c r="U11" s="698"/>
      <c r="V11" s="698"/>
      <c r="W11" s="700"/>
    </row>
    <row r="12" spans="1:23">
      <c r="A12" s="730" t="s">
        <v>639</v>
      </c>
      <c r="B12" s="734">
        <f>B6*0.33557</f>
        <v>3488921.2899999996</v>
      </c>
      <c r="C12" s="695"/>
      <c r="D12" s="695"/>
      <c r="E12" s="720" t="s">
        <v>710</v>
      </c>
      <c r="F12" s="701"/>
      <c r="G12" s="698"/>
      <c r="H12" s="698"/>
      <c r="I12" s="698"/>
      <c r="J12" s="698"/>
      <c r="K12" s="698"/>
      <c r="L12" s="698"/>
      <c r="M12" s="698"/>
      <c r="N12" s="698"/>
      <c r="O12" s="698"/>
      <c r="P12" s="698"/>
      <c r="Q12" s="698"/>
      <c r="R12" s="698"/>
      <c r="S12" s="698"/>
      <c r="T12" s="698"/>
      <c r="U12" s="698"/>
      <c r="V12" s="698"/>
      <c r="W12" s="700"/>
    </row>
    <row r="13" spans="1:23">
      <c r="A13" s="730" t="s">
        <v>652</v>
      </c>
      <c r="B13" s="734">
        <f>B11*0.07</f>
        <v>525213.95763440861</v>
      </c>
      <c r="C13" s="619"/>
      <c r="D13" s="619"/>
      <c r="E13" s="720"/>
      <c r="F13" s="725" t="s">
        <v>642</v>
      </c>
      <c r="G13" s="698"/>
      <c r="H13" s="698"/>
      <c r="I13" s="698"/>
      <c r="J13" s="698"/>
      <c r="K13" s="698"/>
      <c r="L13" s="698"/>
      <c r="M13" s="698"/>
      <c r="N13" s="698"/>
      <c r="O13" s="698"/>
      <c r="P13" s="698"/>
      <c r="Q13" s="698"/>
      <c r="R13" s="698"/>
      <c r="S13" s="698"/>
      <c r="T13" s="698"/>
      <c r="U13" s="698"/>
      <c r="V13" s="698"/>
      <c r="W13" s="700"/>
    </row>
    <row r="14" spans="1:23">
      <c r="E14" s="720"/>
      <c r="F14" s="740" t="s">
        <v>640</v>
      </c>
      <c r="G14" s="698"/>
      <c r="H14" s="698"/>
      <c r="I14" s="698"/>
      <c r="J14" s="698"/>
      <c r="K14" s="698"/>
      <c r="L14" s="698"/>
      <c r="M14" s="698"/>
      <c r="N14" s="698"/>
      <c r="O14" s="698"/>
      <c r="P14" s="698"/>
      <c r="Q14" s="698"/>
      <c r="R14" s="698"/>
      <c r="S14" s="698"/>
      <c r="T14" s="698"/>
      <c r="U14" s="698"/>
      <c r="V14" s="698"/>
      <c r="W14" s="700"/>
    </row>
    <row r="15" spans="1:23">
      <c r="A15" s="708" t="s">
        <v>641</v>
      </c>
      <c r="B15" s="767">
        <v>276</v>
      </c>
      <c r="E15" s="720"/>
      <c r="F15" s="740"/>
      <c r="G15" s="698"/>
      <c r="H15" s="698"/>
      <c r="I15" s="698"/>
      <c r="J15" s="698"/>
      <c r="K15" s="698"/>
      <c r="L15" s="698"/>
      <c r="M15" s="698"/>
      <c r="N15" s="698"/>
      <c r="O15" s="698"/>
      <c r="P15" s="698"/>
      <c r="Q15" s="698"/>
      <c r="R15" s="698"/>
      <c r="S15" s="698"/>
      <c r="T15" s="698"/>
      <c r="U15" s="698"/>
      <c r="V15" s="698"/>
      <c r="W15" s="700"/>
    </row>
    <row r="16" spans="1:23">
      <c r="A16" s="735" t="s">
        <v>638</v>
      </c>
      <c r="B16" s="734">
        <f>B6*B15</f>
        <v>2869572000</v>
      </c>
      <c r="C16" s="5"/>
      <c r="D16" s="5"/>
      <c r="E16" s="720" t="s">
        <v>708</v>
      </c>
      <c r="F16" s="701"/>
      <c r="G16" s="698"/>
      <c r="H16" s="698"/>
      <c r="I16" s="698"/>
      <c r="J16" s="698"/>
      <c r="K16" s="698"/>
      <c r="L16" s="698"/>
      <c r="M16" s="698"/>
      <c r="N16" s="698"/>
      <c r="O16" s="698"/>
      <c r="P16" s="698"/>
      <c r="Q16" s="698"/>
      <c r="R16" s="698"/>
      <c r="S16" s="698"/>
      <c r="T16" s="698"/>
      <c r="U16" s="698"/>
      <c r="V16" s="698"/>
      <c r="W16" s="700"/>
    </row>
    <row r="17" spans="1:23">
      <c r="A17" s="1295" t="s">
        <v>655</v>
      </c>
      <c r="B17" s="1296"/>
      <c r="C17" s="5"/>
      <c r="D17" s="5"/>
      <c r="E17" s="720" t="s">
        <v>711</v>
      </c>
      <c r="F17" s="701"/>
      <c r="G17" s="698"/>
      <c r="H17" s="698"/>
      <c r="I17" s="698"/>
      <c r="J17" s="698"/>
      <c r="K17" s="698"/>
      <c r="L17" s="698"/>
      <c r="M17" s="698"/>
      <c r="N17" s="698"/>
      <c r="O17" s="698"/>
      <c r="P17" s="698"/>
      <c r="Q17" s="698"/>
      <c r="R17" s="698"/>
      <c r="S17" s="698"/>
      <c r="T17" s="698"/>
      <c r="U17" s="698"/>
      <c r="V17" s="698"/>
      <c r="W17" s="700"/>
    </row>
    <row r="18" spans="1:23">
      <c r="A18" s="736" t="s">
        <v>644</v>
      </c>
      <c r="B18" s="737">
        <f>B20/10</f>
        <v>6977.8425799999995</v>
      </c>
      <c r="C18" s="350"/>
      <c r="D18" s="350"/>
      <c r="E18" s="720" t="s">
        <v>645</v>
      </c>
      <c r="F18" s="701"/>
      <c r="G18" s="698"/>
      <c r="H18" s="698"/>
      <c r="I18" s="698"/>
      <c r="J18" s="698"/>
      <c r="K18" s="698"/>
      <c r="L18" s="698"/>
      <c r="M18" s="698"/>
      <c r="N18" s="698"/>
      <c r="O18" s="698"/>
      <c r="P18" s="698"/>
      <c r="Q18" s="698"/>
      <c r="R18" s="698"/>
      <c r="S18" s="698"/>
      <c r="T18" s="698"/>
      <c r="U18" s="698"/>
      <c r="V18" s="698"/>
      <c r="W18" s="700"/>
    </row>
    <row r="19" spans="1:23" ht="15" thickBot="1">
      <c r="A19" s="736" t="s">
        <v>646</v>
      </c>
      <c r="B19" s="737">
        <f>B18*0.07</f>
        <v>488.44898060000003</v>
      </c>
      <c r="C19" s="350"/>
      <c r="D19" s="350"/>
      <c r="E19" s="702"/>
      <c r="F19" s="743" t="s">
        <v>709</v>
      </c>
      <c r="G19" s="703"/>
      <c r="H19" s="703"/>
      <c r="I19" s="703"/>
      <c r="J19" s="703"/>
      <c r="K19" s="703"/>
      <c r="L19" s="703"/>
      <c r="M19" s="703"/>
      <c r="N19" s="703"/>
      <c r="O19" s="703"/>
      <c r="P19" s="703"/>
      <c r="Q19" s="703"/>
      <c r="R19" s="703"/>
      <c r="S19" s="703"/>
      <c r="T19" s="703"/>
      <c r="U19" s="703"/>
      <c r="V19" s="703"/>
      <c r="W19" s="704"/>
    </row>
    <row r="20" spans="1:23">
      <c r="A20" s="736" t="s">
        <v>643</v>
      </c>
      <c r="B20" s="737">
        <f>((B11/(200*0.5))*0.93)</f>
        <v>69778.425799999997</v>
      </c>
      <c r="E20" s="8"/>
      <c r="F20" s="8"/>
      <c r="G20" s="8"/>
      <c r="H20" s="8"/>
      <c r="I20" s="8"/>
      <c r="J20" s="8"/>
      <c r="K20" s="8"/>
      <c r="L20" s="8"/>
      <c r="M20" s="8"/>
      <c r="N20" s="8"/>
      <c r="O20" s="8"/>
      <c r="P20" s="8"/>
      <c r="Q20" s="8"/>
      <c r="R20" s="8"/>
      <c r="S20" s="8"/>
      <c r="T20" s="8"/>
      <c r="U20" s="8"/>
      <c r="V20" s="8"/>
      <c r="W20" s="8"/>
    </row>
    <row r="21" spans="1:23">
      <c r="A21" s="736" t="s">
        <v>647</v>
      </c>
      <c r="B21" s="738">
        <f>B20*0.07</f>
        <v>4884.4898060000005</v>
      </c>
    </row>
    <row r="22" spans="1:23">
      <c r="C22" s="5"/>
      <c r="D22" s="5"/>
    </row>
    <row r="26" spans="1:23">
      <c r="O26" s="8"/>
    </row>
    <row r="29" spans="1:23">
      <c r="B29" s="5"/>
    </row>
  </sheetData>
  <sheetProtection password="A4FF" sheet="1" objects="1" scenarios="1"/>
  <mergeCells count="1">
    <mergeCell ref="A17:B17"/>
  </mergeCells>
  <hyperlinks>
    <hyperlink ref="F14"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9" tint="0.59999389629810485"/>
  </sheetPr>
  <dimension ref="A1:AE82"/>
  <sheetViews>
    <sheetView topLeftCell="A46" workbookViewId="0">
      <pane xSplit="1" topLeftCell="B1" activePane="topRight" state="frozen"/>
      <selection pane="topRight" activeCell="K67" sqref="K67"/>
    </sheetView>
  </sheetViews>
  <sheetFormatPr baseColWidth="10" defaultColWidth="8.83203125" defaultRowHeight="14" x14ac:dyDescent="0"/>
  <cols>
    <col min="1" max="1" width="45" customWidth="1"/>
    <col min="2" max="3" width="17.5" customWidth="1"/>
    <col min="4" max="4" width="15.1640625" customWidth="1"/>
    <col min="5" max="5" width="17.1640625" customWidth="1"/>
    <col min="6" max="6" width="13" customWidth="1"/>
    <col min="7" max="7" width="19.5" customWidth="1"/>
    <col min="8" max="8" width="13" customWidth="1"/>
    <col min="9" max="9" width="18.5" customWidth="1"/>
    <col min="10" max="10" width="13" customWidth="1"/>
    <col min="11" max="11" width="14.1640625" customWidth="1"/>
    <col min="12" max="12" width="14.33203125" customWidth="1"/>
    <col min="13" max="13" width="10.6640625" customWidth="1"/>
    <col min="14" max="14" width="18.6640625" customWidth="1"/>
    <col min="15" max="15" width="11.33203125" customWidth="1"/>
  </cols>
  <sheetData>
    <row r="1" spans="1:30" ht="19" thickBot="1">
      <c r="A1" s="748" t="s">
        <v>727</v>
      </c>
      <c r="B1" s="582" t="s">
        <v>660</v>
      </c>
      <c r="C1" s="582" t="s">
        <v>835</v>
      </c>
      <c r="D1" s="582" t="s">
        <v>836</v>
      </c>
      <c r="E1" s="582" t="s">
        <v>837</v>
      </c>
      <c r="F1" s="582" t="s">
        <v>838</v>
      </c>
      <c r="G1" s="582" t="s">
        <v>839</v>
      </c>
      <c r="H1" s="582" t="s">
        <v>840</v>
      </c>
      <c r="I1" s="582" t="s">
        <v>841</v>
      </c>
      <c r="J1" s="751"/>
    </row>
    <row r="2" spans="1:30">
      <c r="B2" s="575" t="s">
        <v>662</v>
      </c>
      <c r="C2" s="575" t="s">
        <v>661</v>
      </c>
      <c r="D2" s="575" t="s">
        <v>667</v>
      </c>
      <c r="E2" s="575" t="s">
        <v>665</v>
      </c>
      <c r="F2" s="752" t="s">
        <v>666</v>
      </c>
      <c r="G2" s="752" t="s">
        <v>665</v>
      </c>
      <c r="H2" s="752" t="s">
        <v>659</v>
      </c>
      <c r="I2" s="752" t="s">
        <v>658</v>
      </c>
      <c r="J2" s="752"/>
      <c r="L2" s="718" t="s">
        <v>650</v>
      </c>
      <c r="M2" s="719"/>
      <c r="N2" s="719"/>
      <c r="O2" s="719"/>
      <c r="P2" s="719"/>
      <c r="Q2" s="719"/>
      <c r="R2" s="719"/>
      <c r="S2" s="719"/>
      <c r="T2" s="719"/>
      <c r="U2" s="719"/>
      <c r="V2" s="719"/>
      <c r="W2" s="719"/>
      <c r="X2" s="719"/>
      <c r="Y2" s="719"/>
      <c r="Z2" s="719"/>
      <c r="AA2" s="719"/>
      <c r="AB2" s="719"/>
      <c r="AC2" s="719"/>
      <c r="AD2" s="699"/>
    </row>
    <row r="3" spans="1:30">
      <c r="A3" s="164" t="s">
        <v>374</v>
      </c>
      <c r="B3" s="564">
        <f>CONVERT(B4,"lbm","kg")</f>
        <v>0.34926612490000003</v>
      </c>
      <c r="C3" s="564">
        <f t="shared" ref="C3:G3" si="0">CONVERT(C4,"lbm","kg")</f>
        <v>0.86636142670000005</v>
      </c>
      <c r="D3" s="564">
        <f t="shared" si="0"/>
        <v>1.3108819493000001</v>
      </c>
      <c r="E3" s="564">
        <f t="shared" si="0"/>
        <v>1.4741752025000001</v>
      </c>
      <c r="F3" s="564">
        <v>2.0880000000000001</v>
      </c>
      <c r="G3" s="564">
        <f t="shared" si="0"/>
        <v>1.4741752025000001</v>
      </c>
      <c r="H3" s="564">
        <f t="shared" ref="H3" si="1">CONVERT(H4,"lbm","kg")</f>
        <v>1.7372587771000001</v>
      </c>
      <c r="I3" s="564">
        <f t="shared" ref="I3" si="2">CONVERT(I4,"lbm","kg")</f>
        <v>2.0683812071999998</v>
      </c>
      <c r="J3" s="564"/>
      <c r="L3" s="720"/>
      <c r="M3" s="698"/>
      <c r="N3" s="698"/>
      <c r="O3" s="698"/>
      <c r="P3" s="698"/>
      <c r="Q3" s="698"/>
      <c r="R3" s="698"/>
      <c r="S3" s="698"/>
      <c r="T3" s="698"/>
      <c r="U3" s="698"/>
      <c r="V3" s="698"/>
      <c r="W3" s="698"/>
      <c r="X3" s="698"/>
      <c r="Y3" s="698"/>
      <c r="Z3" s="698"/>
      <c r="AA3" s="698"/>
      <c r="AB3" s="698"/>
      <c r="AC3" s="698"/>
      <c r="AD3" s="700"/>
    </row>
    <row r="4" spans="1:30">
      <c r="A4" s="164" t="s">
        <v>291</v>
      </c>
      <c r="B4" s="564">
        <v>0.77</v>
      </c>
      <c r="C4" s="564">
        <v>1.91</v>
      </c>
      <c r="D4" s="564">
        <v>2.89</v>
      </c>
      <c r="E4" s="564">
        <v>3.25</v>
      </c>
      <c r="F4" s="564">
        <f t="shared" ref="F4" si="3">CONVERT(F3,"kg","lbm")</f>
        <v>4.6032520344202439</v>
      </c>
      <c r="G4" s="564">
        <v>3.25</v>
      </c>
      <c r="H4" s="564">
        <v>3.83</v>
      </c>
      <c r="I4" s="564">
        <v>4.5599999999999996</v>
      </c>
      <c r="J4" s="564"/>
      <c r="L4" s="744" t="s">
        <v>747</v>
      </c>
      <c r="M4" s="698"/>
      <c r="N4" s="698"/>
      <c r="O4" s="698"/>
      <c r="P4" s="698"/>
      <c r="Q4" s="698"/>
      <c r="R4" s="698"/>
      <c r="S4" s="698"/>
      <c r="T4" s="698"/>
      <c r="U4" s="698"/>
      <c r="V4" s="698"/>
      <c r="W4" s="698"/>
      <c r="X4" s="698"/>
      <c r="Y4" s="698"/>
      <c r="Z4" s="698"/>
      <c r="AA4" s="698"/>
      <c r="AB4" s="698"/>
      <c r="AC4" s="698"/>
      <c r="AD4" s="700"/>
    </row>
    <row r="5" spans="1:30">
      <c r="A5" s="164"/>
      <c r="L5" s="720"/>
      <c r="M5" s="698"/>
      <c r="N5" s="698"/>
      <c r="O5" s="698"/>
      <c r="P5" s="698"/>
      <c r="Q5" s="698"/>
      <c r="R5" s="698"/>
      <c r="S5" s="698"/>
      <c r="T5" s="698"/>
      <c r="U5" s="698"/>
      <c r="V5" s="698"/>
      <c r="W5" s="698"/>
      <c r="X5" s="698"/>
      <c r="Y5" s="698"/>
      <c r="Z5" s="698"/>
      <c r="AA5" s="698"/>
      <c r="AB5" s="698"/>
      <c r="AC5" s="698"/>
      <c r="AD5" s="700"/>
    </row>
    <row r="6" spans="1:30">
      <c r="A6" s="635" t="s">
        <v>550</v>
      </c>
      <c r="B6" s="564">
        <f>B8*7</f>
        <v>0.16510762267999998</v>
      </c>
      <c r="C6" s="564">
        <f t="shared" ref="C6:D6" si="4">C8*7</f>
        <v>0.33869288675529996</v>
      </c>
      <c r="D6" s="564">
        <f t="shared" si="4"/>
        <v>0.43721768544299999</v>
      </c>
      <c r="E6" s="564">
        <f t="shared" ref="E6:G6" si="5">E8*7</f>
        <v>0.52707433394000014</v>
      </c>
      <c r="F6" s="564">
        <f t="shared" ref="F6:H6" si="6">F8*7</f>
        <v>0.69853224980000006</v>
      </c>
      <c r="G6" s="564">
        <f t="shared" si="5"/>
        <v>0.52707433394000014</v>
      </c>
      <c r="H6" s="564">
        <f t="shared" si="6"/>
        <v>0.69853224980000006</v>
      </c>
      <c r="I6" s="564">
        <f t="shared" ref="I6" si="7">I8*7</f>
        <v>0.69853224980000006</v>
      </c>
      <c r="J6" s="564"/>
      <c r="L6" s="720" t="s">
        <v>702</v>
      </c>
      <c r="M6" s="725"/>
      <c r="N6" s="698"/>
      <c r="O6" s="698"/>
      <c r="P6" s="698"/>
      <c r="Q6" s="698"/>
      <c r="R6" s="698"/>
      <c r="S6" s="698"/>
      <c r="T6" s="698"/>
      <c r="U6" s="698"/>
      <c r="V6" s="698"/>
      <c r="W6" s="698"/>
      <c r="X6" s="698"/>
      <c r="Y6" s="698"/>
      <c r="Z6" s="698"/>
      <c r="AA6" s="698"/>
      <c r="AB6" s="698"/>
      <c r="AC6" s="698"/>
      <c r="AD6" s="700"/>
    </row>
    <row r="7" spans="1:30">
      <c r="A7" s="635" t="s">
        <v>551</v>
      </c>
      <c r="B7" s="564">
        <f>B9*7</f>
        <v>0.36399999999999999</v>
      </c>
      <c r="C7" s="564">
        <f t="shared" ref="C7:D7" si="8">C9*7</f>
        <v>0.74668999999999996</v>
      </c>
      <c r="D7" s="564">
        <f t="shared" si="8"/>
        <v>0.96389999999999998</v>
      </c>
      <c r="E7" s="564">
        <f t="shared" ref="E7:G7" si="9">E9*7</f>
        <v>1.1620000000000001</v>
      </c>
      <c r="F7" s="564">
        <f t="shared" ref="F7:H7" si="10">F9*7</f>
        <v>1.54</v>
      </c>
      <c r="G7" s="564">
        <f t="shared" si="9"/>
        <v>1.1620000000000001</v>
      </c>
      <c r="H7" s="564">
        <f t="shared" si="10"/>
        <v>1.54</v>
      </c>
      <c r="I7" s="564">
        <f t="shared" ref="I7" si="11">I9*7</f>
        <v>1.54</v>
      </c>
      <c r="J7" s="564"/>
      <c r="L7" s="721"/>
      <c r="M7" s="698" t="s">
        <v>701</v>
      </c>
      <c r="N7" s="698"/>
      <c r="O7" s="698"/>
      <c r="P7" s="698"/>
      <c r="Q7" s="698"/>
      <c r="R7" s="698"/>
      <c r="S7" s="698"/>
      <c r="T7" s="698"/>
      <c r="U7" s="698"/>
      <c r="V7" s="698"/>
      <c r="W7" s="698"/>
      <c r="X7" s="698"/>
      <c r="Y7" s="698"/>
      <c r="Z7" s="698"/>
      <c r="AA7" s="698"/>
      <c r="AB7" s="698"/>
      <c r="AC7" s="698"/>
      <c r="AD7" s="700"/>
    </row>
    <row r="8" spans="1:30">
      <c r="A8" s="635" t="s">
        <v>552</v>
      </c>
      <c r="B8" s="564">
        <f>CONVERT(B9,"lbm","kg")</f>
        <v>2.3586803239999999E-2</v>
      </c>
      <c r="C8" s="564">
        <f t="shared" ref="C8" si="12">CONVERT(C9,"lbm","kg")</f>
        <v>4.8384698107899998E-2</v>
      </c>
      <c r="D8" s="564">
        <f t="shared" ref="D8:G8" si="13">CONVERT(D9,"lbm","kg")</f>
        <v>6.2459669348999998E-2</v>
      </c>
      <c r="E8" s="564">
        <f t="shared" si="13"/>
        <v>7.5296333420000014E-2</v>
      </c>
      <c r="F8" s="564">
        <f t="shared" ref="F8:I8" si="14">CONVERT(F9,"lbm","kg")</f>
        <v>9.9790321400000007E-2</v>
      </c>
      <c r="G8" s="564">
        <f t="shared" si="13"/>
        <v>7.5296333420000014E-2</v>
      </c>
      <c r="H8" s="564">
        <f t="shared" si="14"/>
        <v>9.9790321400000007E-2</v>
      </c>
      <c r="I8" s="564">
        <f t="shared" si="14"/>
        <v>9.9790321400000007E-2</v>
      </c>
      <c r="J8" s="564"/>
      <c r="L8" s="721"/>
      <c r="M8" s="698"/>
      <c r="N8" s="698"/>
      <c r="O8" s="698"/>
      <c r="P8" s="698"/>
      <c r="Q8" s="698"/>
      <c r="R8" s="698"/>
      <c r="S8" s="698"/>
      <c r="T8" s="698"/>
      <c r="U8" s="698"/>
      <c r="V8" s="698"/>
      <c r="W8" s="698"/>
      <c r="X8" s="698"/>
      <c r="Y8" s="698"/>
      <c r="Z8" s="698"/>
      <c r="AA8" s="698"/>
      <c r="AB8" s="698"/>
      <c r="AC8" s="698"/>
      <c r="AD8" s="700"/>
    </row>
    <row r="9" spans="1:30">
      <c r="A9" s="635" t="s">
        <v>553</v>
      </c>
      <c r="B9" s="564">
        <v>5.1999999999999998E-2</v>
      </c>
      <c r="C9" s="564">
        <v>0.10667</v>
      </c>
      <c r="D9" s="564">
        <v>0.13769999999999999</v>
      </c>
      <c r="E9" s="564">
        <v>0.16600000000000001</v>
      </c>
      <c r="F9" s="564">
        <v>0.22</v>
      </c>
      <c r="G9" s="564">
        <v>0.16600000000000001</v>
      </c>
      <c r="H9" s="564">
        <v>0.22</v>
      </c>
      <c r="I9" s="564">
        <v>0.22</v>
      </c>
      <c r="J9" s="564"/>
      <c r="L9" s="721" t="s">
        <v>720</v>
      </c>
      <c r="M9" s="726"/>
      <c r="N9" s="717"/>
      <c r="O9" s="717"/>
      <c r="P9" s="717"/>
      <c r="Q9" s="717"/>
      <c r="R9" s="698"/>
      <c r="S9" s="698"/>
      <c r="T9" s="698"/>
      <c r="U9" s="698"/>
      <c r="V9" s="698"/>
      <c r="W9" s="698"/>
      <c r="X9" s="698"/>
      <c r="Y9" s="698"/>
      <c r="Z9" s="698"/>
      <c r="AA9" s="698"/>
      <c r="AB9" s="698"/>
      <c r="AC9" s="698"/>
      <c r="AD9" s="700"/>
    </row>
    <row r="10" spans="1:30">
      <c r="A10" s="635" t="s">
        <v>283</v>
      </c>
      <c r="L10" s="722"/>
      <c r="M10" s="698" t="s">
        <v>703</v>
      </c>
      <c r="N10" s="698"/>
      <c r="O10" s="698"/>
      <c r="P10" s="698"/>
      <c r="Q10" s="698"/>
      <c r="R10" s="698"/>
      <c r="S10" s="698"/>
      <c r="T10" s="698"/>
      <c r="U10" s="698"/>
      <c r="V10" s="698"/>
      <c r="W10" s="698"/>
      <c r="X10" s="698"/>
      <c r="Y10" s="698"/>
      <c r="Z10" s="698"/>
      <c r="AA10" s="698"/>
      <c r="AB10" s="698"/>
      <c r="AC10" s="698"/>
      <c r="AD10" s="700"/>
    </row>
    <row r="11" spans="1:30">
      <c r="A11" s="635" t="s">
        <v>294</v>
      </c>
      <c r="L11" s="721"/>
      <c r="M11" s="717"/>
      <c r="N11" s="717"/>
      <c r="O11" s="717"/>
      <c r="P11" s="717"/>
      <c r="Q11" s="717"/>
      <c r="R11" s="698"/>
      <c r="S11" s="698"/>
      <c r="T11" s="698"/>
      <c r="U11" s="698"/>
      <c r="V11" s="698"/>
      <c r="W11" s="698"/>
      <c r="X11" s="698"/>
      <c r="Y11" s="698"/>
      <c r="Z11" s="698"/>
      <c r="AA11" s="698"/>
      <c r="AB11" s="698"/>
      <c r="AC11" s="698"/>
      <c r="AD11" s="700"/>
    </row>
    <row r="12" spans="1:30">
      <c r="A12" s="635" t="s">
        <v>280</v>
      </c>
      <c r="L12" s="727" t="s">
        <v>721</v>
      </c>
      <c r="M12" s="725"/>
      <c r="N12" s="698"/>
      <c r="O12" s="698"/>
      <c r="P12" s="698"/>
      <c r="Q12" s="698"/>
      <c r="R12" s="698"/>
      <c r="S12" s="698"/>
      <c r="T12" s="698"/>
      <c r="U12" s="698"/>
      <c r="V12" s="698"/>
      <c r="W12" s="698"/>
      <c r="X12" s="698"/>
      <c r="Y12" s="698"/>
      <c r="Z12" s="698"/>
      <c r="AA12" s="698"/>
      <c r="AB12" s="698"/>
      <c r="AC12" s="698"/>
      <c r="AD12" s="700"/>
    </row>
    <row r="13" spans="1:30">
      <c r="A13" s="642"/>
      <c r="B13" s="564"/>
      <c r="C13" s="564"/>
      <c r="D13" s="564"/>
      <c r="E13" s="564"/>
      <c r="F13" s="583"/>
      <c r="G13" s="564"/>
      <c r="H13" s="583"/>
      <c r="I13" s="583"/>
      <c r="J13" s="583"/>
      <c r="L13" s="721"/>
      <c r="M13" s="698" t="s">
        <v>704</v>
      </c>
      <c r="N13" s="698"/>
      <c r="O13" s="698"/>
      <c r="P13" s="698"/>
      <c r="Q13" s="698"/>
      <c r="R13" s="698"/>
      <c r="S13" s="698"/>
      <c r="T13" s="698"/>
      <c r="U13" s="698"/>
      <c r="V13" s="698"/>
      <c r="W13" s="698"/>
      <c r="X13" s="698"/>
      <c r="Y13" s="698"/>
      <c r="Z13" s="698"/>
      <c r="AA13" s="698"/>
      <c r="AB13" s="698"/>
      <c r="AC13" s="698"/>
      <c r="AD13" s="700"/>
    </row>
    <row r="14" spans="1:30">
      <c r="A14" s="909" t="s">
        <v>567</v>
      </c>
      <c r="B14" s="910">
        <f t="shared" ref="B14:E14" si="15">B15*B6</f>
        <v>6.6043049071999994E-4</v>
      </c>
      <c r="C14" s="910">
        <f t="shared" si="15"/>
        <v>1.1854251036435498E-3</v>
      </c>
      <c r="D14" s="910">
        <f t="shared" si="15"/>
        <v>1.3116530563289999E-3</v>
      </c>
      <c r="E14" s="910">
        <f t="shared" si="15"/>
        <v>1.6866378686080006E-3</v>
      </c>
      <c r="F14" s="910">
        <f>F15*F6</f>
        <v>1.46691772458E-3</v>
      </c>
      <c r="G14" s="910">
        <f t="shared" ref="G14" si="16">G15*G6</f>
        <v>1.6866378686080006E-3</v>
      </c>
      <c r="H14" s="910">
        <f t="shared" ref="H14" si="17">H15*H6</f>
        <v>1.7463306245000003E-3</v>
      </c>
      <c r="I14" s="910">
        <f>I15*I6</f>
        <v>1.46691772458E-3</v>
      </c>
      <c r="J14" s="709"/>
      <c r="L14" s="721"/>
      <c r="M14" s="698"/>
      <c r="N14" s="698"/>
      <c r="O14" s="698"/>
      <c r="P14" s="698"/>
      <c r="Q14" s="698"/>
      <c r="R14" s="698"/>
      <c r="S14" s="698"/>
      <c r="T14" s="698"/>
      <c r="U14" s="698"/>
      <c r="V14" s="698"/>
      <c r="W14" s="698"/>
      <c r="X14" s="698"/>
      <c r="Y14" s="698"/>
      <c r="Z14" s="698"/>
      <c r="AA14" s="698"/>
      <c r="AB14" s="698"/>
      <c r="AC14" s="698"/>
      <c r="AD14" s="700"/>
    </row>
    <row r="15" spans="1:30">
      <c r="A15" s="909" t="s">
        <v>543</v>
      </c>
      <c r="B15" s="912">
        <v>4.0000000000000001E-3</v>
      </c>
      <c r="C15" s="912">
        <v>3.5000000000000001E-3</v>
      </c>
      <c r="D15" s="912">
        <v>3.0000000000000001E-3</v>
      </c>
      <c r="E15" s="912">
        <v>3.2000000000000002E-3</v>
      </c>
      <c r="F15" s="912">
        <v>2.0999999999999999E-3</v>
      </c>
      <c r="G15" s="912">
        <v>3.2000000000000002E-3</v>
      </c>
      <c r="H15" s="912">
        <v>2.5000000000000001E-3</v>
      </c>
      <c r="I15" s="912">
        <v>2.0999999999999999E-3</v>
      </c>
      <c r="J15" s="603"/>
      <c r="L15" s="721" t="s">
        <v>706</v>
      </c>
      <c r="M15" s="728"/>
      <c r="N15" s="698"/>
      <c r="O15" s="698"/>
      <c r="P15" s="698"/>
      <c r="Q15" s="698"/>
      <c r="R15" s="698"/>
      <c r="S15" s="698"/>
      <c r="T15" s="698"/>
      <c r="U15" s="698"/>
      <c r="V15" s="698"/>
      <c r="W15" s="698"/>
      <c r="X15" s="698"/>
      <c r="Y15" s="698"/>
      <c r="Z15" s="698"/>
      <c r="AA15" s="698"/>
      <c r="AB15" s="698"/>
      <c r="AC15" s="698"/>
      <c r="AD15" s="700"/>
    </row>
    <row r="16" spans="1:30">
      <c r="A16" s="635" t="s">
        <v>566</v>
      </c>
      <c r="B16" s="564">
        <f>(B38*Feed_Composition!$E9)+(B39*Feed_Composition!$E6)+(B40*Feed_Composition!$E27)+(B41*Feed_Composition!$E28)+(B44*Feed_Composition!$E26)+(B45*Feed_Composition!$E15)+(B46*Feed_Composition!$E7)+(B48*Feed_Composition!$E28)+(B47*Feed_Composition!E11)+(B42*Feed_Composition!$E30)+(Feed_Composition!$E31*B43)</f>
        <v>7.0652625256189703E-3</v>
      </c>
      <c r="C16" s="564">
        <f>(C38*Feed_Composition!$E9)+(C39*Feed_Composition!$E6)+(C40*Feed_Composition!$E27)+(C41*Feed_Composition!$E28)+(C44*Feed_Composition!$E26)+(C45*Feed_Composition!$E15)+(C46*Feed_Composition!$E7)+(C48*Feed_Composition!$E28)+(C47*Feed_Composition!F11)+(C42*Feed_Composition!$E30)+(Feed_Composition!$E31*C43)</f>
        <v>1.3003774694082986E-2</v>
      </c>
      <c r="D16" s="564">
        <f>(D38*Feed_Composition!$E9)+(D39*Feed_Composition!$E6)+(D40*Feed_Composition!$E27)+(D41*Feed_Composition!$E28)+(D44*Feed_Composition!$E26)+(D45*Feed_Composition!$E15)+(D46*Feed_Composition!$E7)+(D48*Feed_Composition!$E28)+(D47*Feed_Composition!G11)+(D42*Feed_Composition!$E30)+(Feed_Composition!$E31*D43)</f>
        <v>1.681801653757288E-2</v>
      </c>
      <c r="E16" s="564">
        <f>(E38*Feed_Composition!$E9)+(E39*Feed_Composition!$E6)+(E40*Feed_Composition!$E27)+(E41*Feed_Composition!$E28)+(E44*Feed_Composition!$E26)+(E45*Feed_Composition!$E15)+(E46*Feed_Composition!$E7)+(E48*Feed_Composition!$E28)+(E47*Feed_Composition!G11)+(E42*Feed_Composition!$E30)+(Feed_Composition!$E31*E43)</f>
        <v>5.8118845942101097E-3</v>
      </c>
      <c r="F16" s="564">
        <f>(F38*Feed_Composition!$E9)+(F39*Feed_Composition!$E6)+(F40*Feed_Composition!$E27)+(F41*Feed_Composition!$E28)+(F44*Feed_Composition!$E26)+(F45*Feed_Composition!$E15)+(F46*Feed_Composition!$E7)+(F48*Feed_Composition!$E28)+(F47*Feed_Composition!J11)+(F42*Feed_Composition!$E30)+(Feed_Composition!$E31*F43)</f>
        <v>0.25161269790710239</v>
      </c>
      <c r="G16" s="564">
        <f>(G38*Feed_Composition!$E9)+(G39*Feed_Composition!$E6)+(G40*Feed_Composition!$E27)+(G41*Feed_Composition!$E28)+(G44*Feed_Composition!$E26)+(G45*Feed_Composition!$E15)+(G46*Feed_Composition!$E7)+(G48*Feed_Composition!$E28)+(G47*Feed_Composition!J11)+(G42*Feed_Composition!$E30)+(Feed_Composition!$E31*G43)</f>
        <v>2.0341596079735388E-2</v>
      </c>
      <c r="H16" s="564">
        <f>(H38*Feed_Composition!$E9)+(H39*Feed_Composition!$E6)+(H40*Feed_Composition!$E27)+(H41*Feed_Composition!$E28)+(H44*Feed_Composition!$E26)+(H45*Feed_Composition!$E15)+(H46*Feed_Composition!$E7)+(H48*Feed_Composition!$E28)+(H47*Feed_Composition!G11)+(H42*Feed_Composition!$E30)+(Feed_Composition!$E31*H43)</f>
        <v>0.16118938459673746</v>
      </c>
      <c r="I16" s="564">
        <f>(I38*Feed_Composition!$E9)+(I39*Feed_Composition!$E6)+(I40*Feed_Composition!$E27)+(I41*Feed_Composition!$E28)+(I44*Feed_Composition!$E26)+(I45*Feed_Composition!$E15)+(I46*Feed_Composition!$E7)+(I48*Feed_Composition!$E28)+(I47*Feed_Composition!L11)+(I42*Feed_Composition!$E30)+(Feed_Composition!$E31*I43)</f>
        <v>0.14907839823934924</v>
      </c>
      <c r="J16" s="564"/>
      <c r="K16" s="564"/>
      <c r="L16" s="723"/>
      <c r="M16" s="698" t="s">
        <v>705</v>
      </c>
      <c r="N16" s="698"/>
      <c r="O16" s="698"/>
      <c r="P16" s="698"/>
      <c r="Q16" s="698"/>
      <c r="R16" s="698"/>
      <c r="S16" s="698"/>
      <c r="T16" s="698"/>
      <c r="U16" s="698"/>
      <c r="V16" s="698"/>
      <c r="W16" s="698"/>
      <c r="X16" s="698"/>
      <c r="Y16" s="698"/>
      <c r="Z16" s="698"/>
      <c r="AA16" s="698"/>
      <c r="AB16" s="698"/>
      <c r="AC16" s="698"/>
      <c r="AD16" s="700"/>
    </row>
    <row r="17" spans="1:30">
      <c r="A17" s="635" t="s">
        <v>580</v>
      </c>
      <c r="B17" s="603">
        <f>(B16/42)/B8</f>
        <v>7.1319769199999989E-3</v>
      </c>
      <c r="C17" s="603">
        <f>(C16/42)/C8</f>
        <v>6.3990000000000002E-3</v>
      </c>
      <c r="D17" s="603">
        <f>(D16/42)/D8</f>
        <v>6.4110003999999984E-3</v>
      </c>
      <c r="E17" s="603">
        <f>(E16/42)/E8</f>
        <v>1.8377814474999999E-3</v>
      </c>
      <c r="F17" s="603">
        <f>(F16/(64*7))/F8</f>
        <v>5.6281559025000002E-3</v>
      </c>
      <c r="G17" s="603">
        <f>(G16/49)/G8</f>
        <v>5.5133443425000005E-3</v>
      </c>
      <c r="H17" s="603">
        <f>(H16/(41*7))/H8</f>
        <v>5.6281559025000002E-3</v>
      </c>
      <c r="I17" s="603">
        <f>(I16/(41*7))/I8</f>
        <v>5.2052836425E-3</v>
      </c>
      <c r="J17" s="603"/>
      <c r="K17" s="564"/>
      <c r="L17" s="723"/>
      <c r="M17" s="698"/>
      <c r="N17" s="698"/>
      <c r="O17" s="698"/>
      <c r="P17" s="698"/>
      <c r="Q17" s="698"/>
      <c r="R17" s="698"/>
      <c r="S17" s="698"/>
      <c r="T17" s="698"/>
      <c r="U17" s="698"/>
      <c r="V17" s="698"/>
      <c r="W17" s="698"/>
      <c r="X17" s="698"/>
      <c r="Y17" s="698"/>
      <c r="Z17" s="698"/>
      <c r="AA17" s="698"/>
      <c r="AB17" s="698"/>
      <c r="AC17" s="698"/>
      <c r="AD17" s="700"/>
    </row>
    <row r="18" spans="1:30">
      <c r="A18" s="635"/>
      <c r="K18" s="564"/>
      <c r="L18" s="723" t="s">
        <v>724</v>
      </c>
      <c r="M18" s="698"/>
      <c r="N18" s="717"/>
      <c r="O18" s="698"/>
      <c r="P18" s="698"/>
      <c r="Q18" s="698"/>
      <c r="R18" s="698"/>
      <c r="S18" s="698"/>
      <c r="T18" s="698"/>
      <c r="U18" s="698"/>
      <c r="V18" s="698"/>
      <c r="W18" s="698"/>
      <c r="X18" s="698"/>
      <c r="Y18" s="698"/>
      <c r="Z18" s="698"/>
      <c r="AA18" s="698"/>
      <c r="AB18" s="698"/>
      <c r="AC18" s="698"/>
      <c r="AD18" s="700"/>
    </row>
    <row r="19" spans="1:30">
      <c r="A19" s="635"/>
      <c r="K19" s="564"/>
      <c r="L19" s="721" t="s">
        <v>723</v>
      </c>
      <c r="M19" s="698"/>
      <c r="N19" s="698"/>
      <c r="O19" s="698"/>
      <c r="P19" s="698"/>
      <c r="Q19" s="698"/>
      <c r="R19" s="698"/>
      <c r="S19" s="698"/>
      <c r="T19" s="698"/>
      <c r="U19" s="698"/>
      <c r="V19" s="698"/>
      <c r="W19" s="698"/>
      <c r="X19" s="698"/>
      <c r="Y19" s="698"/>
      <c r="Z19" s="698"/>
      <c r="AA19" s="698"/>
      <c r="AB19" s="698"/>
      <c r="AC19" s="698"/>
      <c r="AD19" s="700"/>
    </row>
    <row r="20" spans="1:30">
      <c r="A20" s="909" t="s">
        <v>669</v>
      </c>
      <c r="B20" s="910">
        <f t="shared" ref="B20:E20" si="18">B21*B6</f>
        <v>2.9719372082399997E-2</v>
      </c>
      <c r="C20" s="910">
        <f t="shared" si="18"/>
        <v>5.4190861880847992E-2</v>
      </c>
      <c r="D20" s="910">
        <f t="shared" si="18"/>
        <v>6.5582652816449996E-2</v>
      </c>
      <c r="E20" s="910">
        <f t="shared" si="18"/>
        <v>8.9602636769800029E-2</v>
      </c>
      <c r="F20" s="910">
        <f t="shared" ref="F20:H20" si="19">F21*F6</f>
        <v>8.7316531225000008E-2</v>
      </c>
      <c r="G20" s="910">
        <f t="shared" si="19"/>
        <v>8.9602636769800029E-2</v>
      </c>
      <c r="H20" s="910">
        <f t="shared" si="19"/>
        <v>0.10477983747000001</v>
      </c>
      <c r="I20" s="910">
        <f t="shared" ref="I20" si="20">I21*I6</f>
        <v>8.7316531225000008E-2</v>
      </c>
      <c r="J20" s="668"/>
      <c r="K20" s="564"/>
      <c r="L20" s="723" t="s">
        <v>707</v>
      </c>
      <c r="M20" s="698"/>
      <c r="N20" s="698"/>
      <c r="O20" s="698"/>
      <c r="P20" s="698"/>
      <c r="Q20" s="698"/>
      <c r="R20" s="698"/>
      <c r="S20" s="698"/>
      <c r="T20" s="698"/>
      <c r="U20" s="698"/>
      <c r="V20" s="698"/>
      <c r="W20" s="698"/>
      <c r="X20" s="698"/>
      <c r="Y20" s="698"/>
      <c r="Z20" s="698"/>
      <c r="AA20" s="698"/>
      <c r="AB20" s="698"/>
      <c r="AC20" s="698"/>
      <c r="AD20" s="700"/>
    </row>
    <row r="21" spans="1:30">
      <c r="A21" s="909" t="s">
        <v>544</v>
      </c>
      <c r="B21" s="911">
        <v>0.18</v>
      </c>
      <c r="C21" s="911">
        <v>0.16</v>
      </c>
      <c r="D21" s="911">
        <v>0.15</v>
      </c>
      <c r="E21" s="911">
        <v>0.17</v>
      </c>
      <c r="F21" s="911">
        <v>0.125</v>
      </c>
      <c r="G21" s="911">
        <v>0.17</v>
      </c>
      <c r="H21" s="911">
        <v>0.15</v>
      </c>
      <c r="I21" s="911">
        <v>0.125</v>
      </c>
      <c r="J21" s="623"/>
      <c r="K21" s="564"/>
      <c r="L21" s="723"/>
      <c r="M21" s="698"/>
      <c r="N21" s="698"/>
      <c r="O21" s="698"/>
      <c r="P21" s="698"/>
      <c r="Q21" s="698"/>
      <c r="R21" s="698"/>
      <c r="S21" s="698"/>
      <c r="T21" s="698"/>
      <c r="U21" s="698"/>
      <c r="V21" s="698"/>
      <c r="W21" s="698"/>
      <c r="X21" s="698"/>
      <c r="Y21" s="698"/>
      <c r="Z21" s="698"/>
      <c r="AA21" s="698"/>
      <c r="AB21" s="698"/>
      <c r="AC21" s="698"/>
      <c r="AD21" s="700"/>
    </row>
    <row r="22" spans="1:30">
      <c r="A22" s="639" t="s">
        <v>668</v>
      </c>
      <c r="B22" s="564">
        <f>(B38*Feed_Composition!$G9)+(B39*Feed_Composition!$G6)+(B40*Feed_Composition!$G27)+(B41*Feed_Composition!$G28)+(B44*Feed_Composition!$G26)+(B45*Feed_Composition!$G15)+(B46*Feed_Composition!$G7)+(B48*Feed_Composition!$G28)</f>
        <v>0.1917898927026265</v>
      </c>
      <c r="C22" s="564">
        <f>(C38*Feed_Composition!$G9)+(C39*Feed_Composition!$G6)+(C40*Feed_Composition!$G27)+(C41*Feed_Composition!$G28)+(C44*Feed_Composition!$G26)+(C45*Feed_Composition!$G15)+(C46*Feed_Composition!$G7)+(C48*Feed_Composition!$G28)</f>
        <v>0.32865285771448477</v>
      </c>
      <c r="D22" s="564">
        <f>(D38*Feed_Composition!$G9)+(D39*Feed_Composition!$G6)+(D40*Feed_Composition!$G27)+(D41*Feed_Composition!$G28)+(D44*Feed_Composition!$G26)+(D45*Feed_Composition!$G15)+(D46*Feed_Composition!$G7)+(D48*Feed_Composition!$G28)</f>
        <v>0.44410068174352541</v>
      </c>
      <c r="E22" s="564">
        <f>(E38*Feed_Composition!$G9)+(E39*Feed_Composition!$G6)+(E40*Feed_Composition!$G27)+(E41*Feed_Composition!$G28)+(E44*Feed_Composition!$G26)+(E45*Feed_Composition!$G15)+(E46*Feed_Composition!$G7)+(E48*Feed_Composition!$G28)+(E42*Feed_Composition!$G30)+(Feed_Composition!$G31*E43)</f>
        <v>0.18447210528116256</v>
      </c>
      <c r="F22" s="564">
        <f>(F38*Feed_Composition!$G9)+(F39*Feed_Composition!$G6)+(F40*Feed_Composition!$G27)+(F41*Feed_Composition!$G28)+(F44*Feed_Composition!$G26)+(F45*Feed_Composition!$G15)+(F46*Feed_Composition!$G7)+(F48*Feed_Composition!$G28)+(F42*Feed_Composition!$G30)+(Feed_Composition!$G31*F43)</f>
        <v>7.8178373252576758</v>
      </c>
      <c r="G22" s="564">
        <f>(G38*Feed_Composition!$G9)+(G39*Feed_Composition!$G6)+(G40*Feed_Composition!$G27)+(G41*Feed_Composition!$G28)+(G44*Feed_Composition!$G26)+(G45*Feed_Composition!$G15)+(G46*Feed_Composition!$G7)+(G48*Feed_Composition!$G28)+(G42*Feed_Composition!$G30)+(Feed_Composition!$G31*G43)</f>
        <v>0.64565236848406904</v>
      </c>
      <c r="H22" s="564">
        <f>(H38*Feed_Composition!$G9)+(H39*Feed_Composition!$G6)+(H40*Feed_Composition!$G27)+(H41*Feed_Composition!$G28)+(H44*Feed_Composition!$G26)+(H45*Feed_Composition!$G15)+(H46*Feed_Composition!$G7)+(H48*Feed_Composition!$G28)+(H42*Feed_Composition!$G30)+(Feed_Composition!$G31*H43)</f>
        <v>5.0083020364931992</v>
      </c>
      <c r="I22" s="564">
        <f>(I38*Feed_Composition!$G9)+(I39*Feed_Composition!$G6)+(I40*Feed_Composition!$G27)+(I41*Feed_Composition!$G28)+(I44*Feed_Composition!$G26)+(I45*Feed_Composition!$G15)+(I46*Feed_Composition!$G7)+(I48*Feed_Composition!$G28)+(I42*Feed_Composition!$G30)+(Feed_Composition!$G31*I43)</f>
        <v>4.6789237464387075</v>
      </c>
      <c r="J22" s="564"/>
      <c r="K22" s="564"/>
      <c r="L22" s="723" t="s">
        <v>725</v>
      </c>
      <c r="M22" s="698"/>
      <c r="N22" s="698"/>
      <c r="O22" s="698"/>
      <c r="P22" s="698"/>
      <c r="Q22" s="698"/>
      <c r="R22" s="698"/>
      <c r="S22" s="698"/>
      <c r="T22" s="698"/>
      <c r="U22" s="698"/>
      <c r="V22" s="698"/>
      <c r="W22" s="698"/>
      <c r="X22" s="698"/>
      <c r="Y22" s="698"/>
      <c r="Z22" s="698"/>
      <c r="AA22" s="698"/>
      <c r="AB22" s="698"/>
      <c r="AC22" s="698"/>
      <c r="AD22" s="700"/>
    </row>
    <row r="23" spans="1:30">
      <c r="A23" s="635" t="s">
        <v>290</v>
      </c>
      <c r="B23" s="603">
        <f>(B22/42)/B8</f>
        <v>0.19360088648999993</v>
      </c>
      <c r="C23" s="603">
        <f>(C22/42)/C8</f>
        <v>0.16172609000000002</v>
      </c>
      <c r="D23" s="603">
        <f>(D22/42)/D8</f>
        <v>0.16929045359999997</v>
      </c>
      <c r="E23" s="603">
        <f>(E22/14)/E8</f>
        <v>0.17499628932999997</v>
      </c>
      <c r="F23" s="566">
        <f>(F22/(64*7))/F8</f>
        <v>0.17487196652999995</v>
      </c>
      <c r="G23" s="603">
        <f>(G22/49)/G8</f>
        <v>0.17499628933</v>
      </c>
      <c r="H23" s="566">
        <f>(H22/(41*7))/H8</f>
        <v>0.17487196652999998</v>
      </c>
      <c r="I23" s="566">
        <f>(I22/(41*7))/I8</f>
        <v>0.16337125652999998</v>
      </c>
      <c r="J23" s="566"/>
      <c r="K23" s="564"/>
      <c r="L23" s="723"/>
      <c r="M23" s="698" t="s">
        <v>722</v>
      </c>
      <c r="N23" s="698"/>
      <c r="O23" s="698"/>
      <c r="P23" s="698"/>
      <c r="Q23" s="698"/>
      <c r="R23" s="698"/>
      <c r="S23" s="698"/>
      <c r="T23" s="698"/>
      <c r="U23" s="698"/>
      <c r="V23" s="698"/>
      <c r="W23" s="698"/>
      <c r="X23" s="698"/>
      <c r="Y23" s="698"/>
      <c r="Z23" s="698"/>
      <c r="AA23" s="698"/>
      <c r="AB23" s="698"/>
      <c r="AC23" s="698"/>
      <c r="AD23" s="700"/>
    </row>
    <row r="24" spans="1:30">
      <c r="K24" s="564"/>
      <c r="L24" s="723"/>
      <c r="M24" s="698"/>
      <c r="N24" s="698"/>
      <c r="O24" s="698"/>
      <c r="P24" s="698"/>
      <c r="Q24" s="698"/>
      <c r="R24" s="698"/>
      <c r="S24" s="698"/>
      <c r="T24" s="698"/>
      <c r="U24" s="698"/>
      <c r="V24" s="698"/>
      <c r="W24" s="698"/>
      <c r="X24" s="698"/>
      <c r="Y24" s="698"/>
      <c r="Z24" s="698"/>
      <c r="AA24" s="698"/>
      <c r="AB24" s="698"/>
      <c r="AC24" s="698"/>
      <c r="AD24" s="700"/>
    </row>
    <row r="25" spans="1:30" ht="16">
      <c r="A25" s="164" t="s">
        <v>549</v>
      </c>
      <c r="B25" s="603">
        <f t="shared" ref="B25:E25" si="21">SUM(B26:B36)</f>
        <v>1</v>
      </c>
      <c r="C25" s="603">
        <f t="shared" si="21"/>
        <v>1</v>
      </c>
      <c r="D25" s="603">
        <f t="shared" si="21"/>
        <v>1</v>
      </c>
      <c r="E25" s="603">
        <f t="shared" si="21"/>
        <v>1</v>
      </c>
      <c r="F25" s="603">
        <f t="shared" ref="F25" si="22">SUM(F26:F36)</f>
        <v>1</v>
      </c>
      <c r="G25" s="603">
        <f t="shared" ref="G25" si="23">SUM(G26:G36)</f>
        <v>1</v>
      </c>
      <c r="H25" s="603">
        <f t="shared" ref="H25" si="24">SUM(H26:H36)</f>
        <v>1</v>
      </c>
      <c r="I25" s="603">
        <f t="shared" ref="I25" si="25">SUM(I26:I36)</f>
        <v>1</v>
      </c>
      <c r="J25" s="603"/>
      <c r="K25" s="564"/>
      <c r="L25" s="721" t="s">
        <v>685</v>
      </c>
      <c r="M25" s="698"/>
      <c r="N25" s="698"/>
      <c r="O25" s="698"/>
      <c r="P25" s="698"/>
      <c r="Q25" s="698"/>
      <c r="R25" s="698"/>
      <c r="S25" s="698"/>
      <c r="T25" s="698"/>
      <c r="U25" s="698"/>
      <c r="V25" s="698"/>
      <c r="W25" s="698"/>
      <c r="X25" s="698"/>
      <c r="Y25" s="698"/>
      <c r="Z25" s="698"/>
      <c r="AA25" s="698"/>
      <c r="AB25" s="698"/>
      <c r="AC25" s="698"/>
      <c r="AD25" s="700"/>
    </row>
    <row r="26" spans="1:30" ht="16">
      <c r="A26" t="s">
        <v>363</v>
      </c>
      <c r="B26" s="603">
        <v>0.62999000000000005</v>
      </c>
      <c r="C26" s="603">
        <v>0.65</v>
      </c>
      <c r="D26" s="603">
        <v>0.68</v>
      </c>
      <c r="E26" s="603">
        <v>0.52</v>
      </c>
      <c r="F26" s="603">
        <v>0.47</v>
      </c>
      <c r="G26" s="603">
        <v>0.52</v>
      </c>
      <c r="H26" s="603">
        <v>0.47</v>
      </c>
      <c r="I26" s="603">
        <v>0.47</v>
      </c>
      <c r="J26" s="603"/>
      <c r="K26" s="564"/>
      <c r="L26" s="849" t="s">
        <v>676</v>
      </c>
      <c r="M26" s="698"/>
      <c r="N26" s="698"/>
      <c r="O26" s="698"/>
      <c r="P26" s="698"/>
      <c r="Q26" s="698"/>
      <c r="R26" s="698"/>
      <c r="S26" s="698"/>
      <c r="T26" s="698"/>
      <c r="U26" s="698"/>
      <c r="V26" s="698"/>
      <c r="W26" s="698"/>
      <c r="X26" s="698"/>
      <c r="Y26" s="698"/>
      <c r="Z26" s="698"/>
      <c r="AA26" s="698"/>
      <c r="AB26" s="698"/>
      <c r="AC26" s="698"/>
      <c r="AD26" s="700"/>
    </row>
    <row r="27" spans="1:30" ht="16">
      <c r="A27" t="s">
        <v>531</v>
      </c>
      <c r="B27" s="603">
        <v>0.3019</v>
      </c>
      <c r="C27" s="603">
        <v>0.16500000000000001</v>
      </c>
      <c r="D27" s="603">
        <v>0.15859999999999999</v>
      </c>
      <c r="E27" s="603">
        <v>0.155</v>
      </c>
      <c r="F27" s="603">
        <v>0.1532</v>
      </c>
      <c r="G27" s="603">
        <v>0.155</v>
      </c>
      <c r="H27" s="603">
        <v>0.1532</v>
      </c>
      <c r="I27" s="603">
        <v>0.1532</v>
      </c>
      <c r="J27" s="603"/>
      <c r="K27" s="564"/>
      <c r="L27" s="721" t="s">
        <v>677</v>
      </c>
      <c r="M27" s="698"/>
      <c r="N27" s="698"/>
      <c r="O27" s="698"/>
      <c r="P27" s="698"/>
      <c r="Q27" s="698"/>
      <c r="R27" s="698"/>
      <c r="S27" s="698"/>
      <c r="T27" s="698"/>
      <c r="U27" s="698"/>
      <c r="V27" s="698"/>
      <c r="W27" s="698"/>
      <c r="X27" s="698"/>
      <c r="Y27" s="698"/>
      <c r="Z27" s="698"/>
      <c r="AA27" s="698"/>
      <c r="AB27" s="698"/>
      <c r="AC27" s="698"/>
      <c r="AD27" s="700"/>
    </row>
    <row r="28" spans="1:30">
      <c r="A28" t="s">
        <v>542</v>
      </c>
      <c r="B28" s="603">
        <v>1.9890000000000001E-2</v>
      </c>
      <c r="C28" s="603"/>
      <c r="D28" s="603"/>
      <c r="E28" s="603">
        <v>7.4999999999999997E-3</v>
      </c>
      <c r="F28" s="603">
        <v>7.4999999999999997E-3</v>
      </c>
      <c r="G28" s="603">
        <v>7.4999999999999997E-3</v>
      </c>
      <c r="H28" s="603">
        <v>7.4999999999999997E-3</v>
      </c>
      <c r="I28" s="603">
        <v>7.4999999999999997E-3</v>
      </c>
      <c r="J28" s="603"/>
      <c r="K28" s="564"/>
      <c r="L28" s="723"/>
      <c r="M28" s="698"/>
      <c r="N28" s="698"/>
      <c r="O28" s="698"/>
      <c r="P28" s="698"/>
      <c r="Q28" s="698"/>
      <c r="R28" s="698"/>
      <c r="S28" s="698"/>
      <c r="T28" s="698"/>
      <c r="U28" s="698"/>
      <c r="V28" s="698"/>
      <c r="W28" s="698"/>
      <c r="X28" s="698"/>
      <c r="Y28" s="698"/>
      <c r="Z28" s="698"/>
      <c r="AA28" s="698"/>
      <c r="AB28" s="698"/>
      <c r="AC28" s="698"/>
      <c r="AD28" s="700"/>
    </row>
    <row r="29" spans="1:30" ht="15" thickBot="1">
      <c r="A29" t="s">
        <v>534</v>
      </c>
      <c r="B29" s="603"/>
      <c r="C29" s="603"/>
      <c r="D29" s="603"/>
      <c r="E29" s="603"/>
      <c r="F29" s="603"/>
      <c r="G29" s="603"/>
      <c r="H29" s="603"/>
      <c r="I29" s="603"/>
      <c r="J29" s="603"/>
      <c r="K29" s="564"/>
      <c r="L29" s="724"/>
      <c r="M29" s="743"/>
      <c r="N29" s="703"/>
      <c r="O29" s="703"/>
      <c r="P29" s="703"/>
      <c r="Q29" s="703"/>
      <c r="R29" s="703"/>
      <c r="S29" s="703"/>
      <c r="T29" s="703"/>
      <c r="U29" s="703"/>
      <c r="V29" s="703"/>
      <c r="W29" s="703"/>
      <c r="X29" s="703"/>
      <c r="Y29" s="703"/>
      <c r="Z29" s="703"/>
      <c r="AA29" s="703"/>
      <c r="AB29" s="703"/>
      <c r="AC29" s="703"/>
      <c r="AD29" s="704"/>
    </row>
    <row r="30" spans="1:30">
      <c r="A30" t="s">
        <v>663</v>
      </c>
      <c r="B30" s="603"/>
      <c r="C30" s="603"/>
      <c r="D30" s="603"/>
      <c r="E30" s="603">
        <v>9.4999999999999998E-3</v>
      </c>
      <c r="F30" s="603">
        <v>9.4999999999999998E-3</v>
      </c>
      <c r="G30" s="603">
        <v>9.4999999999999998E-3</v>
      </c>
      <c r="H30" s="603">
        <v>9.4999999999999998E-3</v>
      </c>
      <c r="I30" s="603">
        <v>9.4999999999999998E-3</v>
      </c>
      <c r="J30" s="564"/>
      <c r="K30" s="564"/>
    </row>
    <row r="31" spans="1:30">
      <c r="A31" t="s">
        <v>664</v>
      </c>
      <c r="B31" s="603"/>
      <c r="C31" s="603"/>
      <c r="D31" s="603"/>
      <c r="E31" s="603">
        <v>0.11</v>
      </c>
      <c r="F31" s="603">
        <v>0.111</v>
      </c>
      <c r="G31" s="603">
        <v>0.11</v>
      </c>
      <c r="H31" s="603">
        <v>0.111</v>
      </c>
      <c r="I31" s="603">
        <v>0.111</v>
      </c>
      <c r="J31" s="564"/>
      <c r="K31" s="564"/>
    </row>
    <row r="32" spans="1:30">
      <c r="A32" t="s">
        <v>532</v>
      </c>
      <c r="B32" s="603"/>
      <c r="C32" s="603">
        <v>5.0000000000000001E-3</v>
      </c>
      <c r="D32" s="603">
        <v>0.02</v>
      </c>
      <c r="E32" s="603">
        <v>0.03</v>
      </c>
      <c r="F32" s="603">
        <v>3.5499999999999997E-2</v>
      </c>
      <c r="G32" s="603">
        <v>0.03</v>
      </c>
      <c r="H32" s="603">
        <v>3.5499999999999997E-2</v>
      </c>
      <c r="I32" s="603">
        <v>3.5499999999999997E-2</v>
      </c>
      <c r="J32" s="564"/>
      <c r="K32" s="564"/>
    </row>
    <row r="33" spans="1:11">
      <c r="A33" t="s">
        <v>234</v>
      </c>
      <c r="B33" s="603"/>
      <c r="C33" s="603">
        <v>0.1</v>
      </c>
      <c r="D33" s="603">
        <v>0.1</v>
      </c>
      <c r="E33" s="603">
        <v>0.1</v>
      </c>
      <c r="F33" s="603">
        <v>0.106</v>
      </c>
      <c r="G33" s="603">
        <v>0.1</v>
      </c>
      <c r="H33" s="603">
        <v>0.106</v>
      </c>
      <c r="I33" s="603">
        <v>0.106</v>
      </c>
      <c r="J33" s="564"/>
      <c r="K33" s="564"/>
    </row>
    <row r="34" spans="1:11">
      <c r="A34" t="s">
        <v>533</v>
      </c>
      <c r="B34" s="603">
        <v>2.1190000000000001E-2</v>
      </c>
      <c r="C34" s="603">
        <v>1.3899999999999999E-2</v>
      </c>
      <c r="D34" s="603">
        <v>1.09E-2</v>
      </c>
      <c r="E34" s="603">
        <v>3.5000000000000001E-3</v>
      </c>
      <c r="F34" s="603">
        <v>3.5000000000000001E-3</v>
      </c>
      <c r="G34" s="603">
        <v>3.5000000000000001E-3</v>
      </c>
      <c r="H34" s="603">
        <v>3.5000000000000001E-3</v>
      </c>
      <c r="I34" s="603">
        <v>3.5000000000000001E-3</v>
      </c>
      <c r="J34" s="564"/>
      <c r="K34" s="564"/>
    </row>
    <row r="35" spans="1:11">
      <c r="A35" t="s">
        <v>606</v>
      </c>
      <c r="B35" s="603">
        <v>1.1900000000000001E-2</v>
      </c>
      <c r="C35" s="603">
        <v>1.49E-2</v>
      </c>
      <c r="D35" s="603">
        <v>1.2999999999999999E-2</v>
      </c>
      <c r="E35" s="603">
        <v>0.05</v>
      </c>
      <c r="F35" s="603">
        <v>9.7600000000000006E-2</v>
      </c>
      <c r="G35" s="603">
        <v>0.05</v>
      </c>
      <c r="H35" s="603">
        <v>9.7600000000000006E-2</v>
      </c>
      <c r="I35" s="603">
        <v>9.7600000000000006E-2</v>
      </c>
      <c r="J35" s="564"/>
      <c r="K35" s="564"/>
    </row>
    <row r="36" spans="1:11">
      <c r="A36" t="s">
        <v>231</v>
      </c>
      <c r="B36" s="603">
        <f>1-(B26+B27+B28+B29+B30+B31+B32+B33+B34+B35)</f>
        <v>1.5129999999999866E-2</v>
      </c>
      <c r="C36" s="603">
        <f t="shared" ref="C36:E36" si="26">1-(C26+C27+C28+C29+C30+C31+C32+C33+C34+C35)</f>
        <v>5.1199999999999912E-2</v>
      </c>
      <c r="D36" s="603">
        <f t="shared" si="26"/>
        <v>1.749999999999996E-2</v>
      </c>
      <c r="E36" s="603">
        <f t="shared" si="26"/>
        <v>1.4500000000000068E-2</v>
      </c>
      <c r="F36" s="603">
        <f>1-(F26+F27+F28+F29+F30+F31+F32+F33+F34+F35)</f>
        <v>6.2000000000002053E-3</v>
      </c>
      <c r="G36" s="603">
        <f t="shared" ref="G36" si="27">1-(G26+G27+G28+G29+G30+G31+G32+G33+G34+G35)</f>
        <v>1.4500000000000068E-2</v>
      </c>
      <c r="H36" s="603">
        <f>1-(H26+H27+H28+H29+H30+H31+H32+H33+H34+H35)</f>
        <v>6.2000000000002053E-3</v>
      </c>
      <c r="I36" s="603">
        <f>1-(I26+I27+I28+I29+I30+I31+I32+I33+I34+I35)</f>
        <v>6.2000000000002053E-3</v>
      </c>
      <c r="J36" s="564"/>
      <c r="K36" s="564"/>
    </row>
    <row r="37" spans="1:11">
      <c r="A37" s="164" t="s">
        <v>726</v>
      </c>
      <c r="B37" s="694"/>
      <c r="C37" s="694"/>
      <c r="D37" s="694"/>
      <c r="E37" s="694"/>
      <c r="F37" s="693"/>
      <c r="G37" s="696"/>
      <c r="H37" s="694"/>
      <c r="I37" s="694"/>
      <c r="J37" s="564"/>
      <c r="K37" s="564"/>
    </row>
    <row r="38" spans="1:11">
      <c r="A38" t="s">
        <v>363</v>
      </c>
      <c r="B38" s="564">
        <f>B26*B$8*42*Feed_Composition!$D$9</f>
        <v>0.5498293753075475</v>
      </c>
      <c r="C38" s="564">
        <f>C26*C$8*42*Feed_Composition!$D$9</f>
        <v>1.1637148896025353</v>
      </c>
      <c r="D38" s="564">
        <f>D26*D$8*42*Feed_Composition!$D$9</f>
        <v>1.5715702259711546</v>
      </c>
      <c r="E38" s="564">
        <f>E26*E$8*14*Feed_Composition!$D$9</f>
        <v>0.48292658772918556</v>
      </c>
      <c r="F38" s="564">
        <f>F26*F$8*64*7*Feed_Composition!$D$9</f>
        <v>18.511439915179903</v>
      </c>
      <c r="G38" s="564">
        <f>G26*G$8*49*Feed_Composition!$D$9</f>
        <v>1.6902430570521496</v>
      </c>
      <c r="H38" s="564">
        <f>H26*H$8*41*7*Feed_Composition!$D$9</f>
        <v>11.858891195662123</v>
      </c>
      <c r="I38" s="564">
        <f>I26*I$8*41*7*Feed_Composition!D9</f>
        <v>11.858891195662123</v>
      </c>
      <c r="J38" s="564"/>
      <c r="K38" s="564"/>
    </row>
    <row r="39" spans="1:11">
      <c r="A39" t="s">
        <v>531</v>
      </c>
      <c r="B39" s="564">
        <f>B27*B$8*42*Feed_Composition!$D$9</f>
        <v>0.26348590994356824</v>
      </c>
      <c r="C39" s="564">
        <f>C27*C$8*42*Feed_Composition!$D$15</f>
        <v>0.30244597401474782</v>
      </c>
      <c r="D39" s="564">
        <f>D27*D$8*42*Feed_Composition!$D$15</f>
        <v>0.37528282721973799</v>
      </c>
      <c r="E39" s="564">
        <f>E27*E$8*14*Feed_Composition!$D$15</f>
        <v>0.14738052525630282</v>
      </c>
      <c r="F39" s="564">
        <f>F27*F$8*64*7*Feed_Composition!$D$15</f>
        <v>6.1777700405608149</v>
      </c>
      <c r="G39" s="564">
        <f>G27*G$8*49*Feed_Composition!$D$15</f>
        <v>0.51583183839705993</v>
      </c>
      <c r="H39" s="564">
        <f>H27*H$8*41*7*Feed_Composition!$D$15</f>
        <v>3.9576339322342724</v>
      </c>
      <c r="I39" s="564">
        <f>I27*I$8*41*7*Feed_Composition!D15</f>
        <v>3.9576339322342724</v>
      </c>
      <c r="J39" s="564"/>
      <c r="K39" s="564"/>
    </row>
    <row r="40" spans="1:11">
      <c r="A40" t="s">
        <v>542</v>
      </c>
      <c r="B40" s="564">
        <f>B28*B$8*42*Feed_Composition!$D$9</f>
        <v>1.7359174391446085E-2</v>
      </c>
      <c r="C40" s="564">
        <f t="shared" ref="C40:D40" si="28">C28*C$8*42</f>
        <v>0</v>
      </c>
      <c r="D40" s="564">
        <f t="shared" si="28"/>
        <v>0</v>
      </c>
      <c r="E40" s="564">
        <f>E28*E$8*14</f>
        <v>7.906115009100002E-3</v>
      </c>
      <c r="F40" s="564">
        <f>F28*F$8*64*7</f>
        <v>0.33529547990400005</v>
      </c>
      <c r="G40" s="564">
        <f>G28*G$8*49</f>
        <v>2.7671402531850006E-2</v>
      </c>
      <c r="H40" s="564">
        <f>H28*H$8*41*7</f>
        <v>0.21479866681350002</v>
      </c>
      <c r="I40" s="564">
        <f>I28*I$8*41*7</f>
        <v>0.21479866681350002</v>
      </c>
      <c r="J40" s="564"/>
      <c r="K40" s="564"/>
    </row>
    <row r="41" spans="1:11">
      <c r="A41" t="s">
        <v>534</v>
      </c>
      <c r="B41" s="564">
        <f>B29*B$8*42*Feed_Composition!$D$9</f>
        <v>0</v>
      </c>
      <c r="C41" s="564">
        <f>C29*C$8*42*Feed_Composition!$D$23</f>
        <v>0</v>
      </c>
      <c r="D41" s="564">
        <f>D29*D$8*42*Feed_Composition!$D$23</f>
        <v>0</v>
      </c>
      <c r="E41" s="564">
        <f>E29*E$8*14*Feed_Composition!$D$23</f>
        <v>0</v>
      </c>
      <c r="F41" s="564">
        <f>F29*F$8*64*7*Feed_Composition!$D$23</f>
        <v>0</v>
      </c>
      <c r="G41" s="564">
        <f>G29*G$8*49*Feed_Composition!$D$23</f>
        <v>0</v>
      </c>
      <c r="H41" s="564">
        <f>H29*H$8*41*7*Feed_Composition!$D$23</f>
        <v>0</v>
      </c>
      <c r="I41" s="564">
        <f>I29*I$8*41*7*Feed_Composition!D23</f>
        <v>0</v>
      </c>
      <c r="J41" s="564"/>
      <c r="K41" s="564"/>
    </row>
    <row r="42" spans="1:11">
      <c r="A42" t="s">
        <v>663</v>
      </c>
      <c r="B42" s="564">
        <f>B30*B$8*42*Feed_Composition!$D$9</f>
        <v>0</v>
      </c>
      <c r="C42" s="564">
        <f>C30*C$8*42*Feed_Composition!$D$30</f>
        <v>0</v>
      </c>
      <c r="D42" s="564">
        <f>D30*D$8*42*Feed_Composition!$D$30</f>
        <v>0</v>
      </c>
      <c r="E42" s="564">
        <f>E30*E$8*14*Feed_Composition!$D$30</f>
        <v>8.9959466093877376E-3</v>
      </c>
      <c r="F42" s="564">
        <f>F30*F$8*64*7*Feed_Composition!$D$30</f>
        <v>0.38151484415716674</v>
      </c>
      <c r="G42" s="564">
        <f>G30*G$8*49*Feed_Composition!$D$30</f>
        <v>3.1485813132857081E-2</v>
      </c>
      <c r="H42" s="564">
        <f>H30*H$8*41*7*Feed_Composition!$D$30</f>
        <v>0.24440794703818494</v>
      </c>
      <c r="I42" s="564">
        <f>I30*I$8*41*7*Feed_Composition!D30</f>
        <v>0.24440794703818494</v>
      </c>
      <c r="J42" s="564"/>
      <c r="K42" s="564"/>
    </row>
    <row r="43" spans="1:11">
      <c r="A43" t="s">
        <v>664</v>
      </c>
      <c r="B43" s="564">
        <f>B31*B$8*42*Feed_Composition!$D$9</f>
        <v>0</v>
      </c>
      <c r="C43" s="564">
        <f>C31*C$8*42*Feed_Composition!$D$31</f>
        <v>0</v>
      </c>
      <c r="D43" s="564">
        <f>D31*D$8*42*Feed_Composition!$D$31</f>
        <v>0</v>
      </c>
      <c r="E43" s="564">
        <f>E31*E$8*14*Feed_Composition!$D$31</f>
        <v>0.10691175789638963</v>
      </c>
      <c r="F43" s="564">
        <f>F31*F$8*64*7*Feed_Composition!$D$31</f>
        <v>4.5753080005780236</v>
      </c>
      <c r="G43" s="564">
        <f>G31*G$8*49*Feed_Composition!$D$31</f>
        <v>0.37419115263736374</v>
      </c>
      <c r="H43" s="564">
        <f>H31*H$8*41*7*Feed_Composition!$D$31</f>
        <v>2.9310566878702957</v>
      </c>
      <c r="I43" s="564">
        <f>I31*I$8*41*7*Feed_Composition!D25</f>
        <v>0.39737753360497502</v>
      </c>
      <c r="J43" s="564"/>
    </row>
    <row r="44" spans="1:11">
      <c r="A44" t="s">
        <v>532</v>
      </c>
      <c r="B44" s="564">
        <f>B32*B$8*42*Feed_Composition!$D$9</f>
        <v>0</v>
      </c>
      <c r="C44" s="564">
        <f>C32*C$8*42*Feed_Composition!$D$26</f>
        <v>9.6527472725260501E-3</v>
      </c>
      <c r="D44" s="564">
        <f>D32*D$8*42*Feed_Composition!$D$26</f>
        <v>4.9842816140501997E-2</v>
      </c>
      <c r="E44" s="564">
        <f>E32*E$8*14*Feed_Composition!$D$26</f>
        <v>3.0043237034580006E-2</v>
      </c>
      <c r="F44" s="564">
        <f>F32*F$8*64*7*Feed_Composition!$D$26</f>
        <v>1.5077120079683199</v>
      </c>
      <c r="G44" s="564">
        <f>G32*G$8*49*Feed_Composition!$D$26</f>
        <v>0.10515132962103002</v>
      </c>
      <c r="H44" s="564">
        <f>H32*H$8*41*7*Feed_Composition!$D$26</f>
        <v>0.9658780051047049</v>
      </c>
      <c r="I44" s="564">
        <f>I32*I$8*41*7*Feed_Composition!D26</f>
        <v>0.9658780051047049</v>
      </c>
      <c r="J44" s="564"/>
    </row>
    <row r="45" spans="1:11">
      <c r="A45" t="s">
        <v>234</v>
      </c>
      <c r="B45" s="564">
        <f>B33*B$8*42*Feed_Composition!$D$9</f>
        <v>0</v>
      </c>
      <c r="C45" s="564">
        <f>C33*C$8*42*Feed_Composition!$D$15</f>
        <v>0.18330059031196835</v>
      </c>
      <c r="D45" s="564">
        <f>D33*D$8*42*Feed_Composition!$D$15</f>
        <v>0.2366222113617516</v>
      </c>
      <c r="E45" s="564">
        <f>E33*E$8*14*Feed_Composition!$D$15</f>
        <v>9.5084209842776019E-2</v>
      </c>
      <c r="F45" s="564">
        <f>F33*F$8*64*7*Feed_Composition!$D$15</f>
        <v>4.2744361899441667</v>
      </c>
      <c r="G45" s="564">
        <f>G33*G$8*49*Feed_Composition!$D$15</f>
        <v>0.33279473444971613</v>
      </c>
      <c r="H45" s="564">
        <f>H33*H$8*41*7*Feed_Composition!$D$15</f>
        <v>2.7383106841829821</v>
      </c>
      <c r="I45" s="564">
        <f>I33*I$8*41*7*Feed_Composition!D15</f>
        <v>2.7383106841829821</v>
      </c>
      <c r="J45" s="564"/>
    </row>
    <row r="46" spans="1:11">
      <c r="A46" t="s">
        <v>533</v>
      </c>
      <c r="B46" s="564">
        <f>B34*B$8*42*Feed_Composition!$D$9</f>
        <v>1.849376095297851E-2</v>
      </c>
      <c r="C46" s="564">
        <f t="shared" ref="C46:D46" si="29">C34*C$8*42</f>
        <v>2.8246986755392015E-2</v>
      </c>
      <c r="D46" s="564">
        <f t="shared" si="29"/>
        <v>2.8594036627972198E-2</v>
      </c>
      <c r="E46" s="564">
        <f>E34*E$8*14</f>
        <v>3.6895203375800008E-3</v>
      </c>
      <c r="F46" s="564">
        <f>F34*F$8*64*7</f>
        <v>0.15647122395520002</v>
      </c>
      <c r="G46" s="564">
        <f>G34*G$8*49</f>
        <v>1.2913321181530003E-2</v>
      </c>
      <c r="H46" s="564">
        <f t="shared" ref="H46:I48" si="30">H34*H$8*41*7</f>
        <v>0.10023937784630002</v>
      </c>
      <c r="I46" s="564">
        <f t="shared" si="30"/>
        <v>0.10023937784630002</v>
      </c>
      <c r="J46" s="564"/>
    </row>
    <row r="47" spans="1:11">
      <c r="A47" t="s">
        <v>606</v>
      </c>
      <c r="B47" s="564">
        <f>B35*B$8*42*Feed_Composition!$D$9</f>
        <v>1.0385830832489111E-2</v>
      </c>
      <c r="C47" s="564">
        <f t="shared" ref="C47:D47" si="31">C35*C$8*42</f>
        <v>3.027914407592382E-2</v>
      </c>
      <c r="D47" s="564">
        <f t="shared" si="31"/>
        <v>3.4102979464553998E-2</v>
      </c>
      <c r="E47" s="564">
        <f>E35*E$8*14</f>
        <v>5.2707433394000011E-2</v>
      </c>
      <c r="F47" s="564">
        <f>F35*F$8*64*7</f>
        <v>4.3633118451507205</v>
      </c>
      <c r="G47" s="564">
        <f>G35*G$8*49</f>
        <v>0.18447601687900006</v>
      </c>
      <c r="H47" s="564">
        <f t="shared" si="30"/>
        <v>2.7952466507996805</v>
      </c>
      <c r="I47" s="564">
        <f t="shared" si="30"/>
        <v>2.7952466507996805</v>
      </c>
      <c r="J47" s="564"/>
    </row>
    <row r="48" spans="1:11">
      <c r="A48" t="s">
        <v>231</v>
      </c>
      <c r="B48" s="564">
        <f>B36*B$8*42*Feed_Composition!$D$9</f>
        <v>1.3204842058450322E-2</v>
      </c>
      <c r="C48" s="564">
        <f t="shared" ref="C48:D48" si="32">C36*C$8*42</f>
        <v>0.10404645481122798</v>
      </c>
      <c r="D48" s="564">
        <f t="shared" si="32"/>
        <v>4.5907856971514893E-2</v>
      </c>
      <c r="E48" s="564">
        <f>E36*E$8*14</f>
        <v>1.5285155684260074E-2</v>
      </c>
      <c r="F48" s="564">
        <f>F36*F$8*64*7</f>
        <v>0.27717759672064923</v>
      </c>
      <c r="G48" s="564">
        <f>G36*G$8*49</f>
        <v>5.3498044894910259E-2</v>
      </c>
      <c r="H48" s="564">
        <f t="shared" si="30"/>
        <v>0.17756689789916591</v>
      </c>
      <c r="I48" s="564">
        <f t="shared" si="30"/>
        <v>0.17756689789916591</v>
      </c>
      <c r="J48" s="564"/>
    </row>
    <row r="49" spans="1:31">
      <c r="A49" s="648"/>
      <c r="B49" s="936"/>
      <c r="C49" s="936"/>
      <c r="D49" s="936"/>
      <c r="E49" s="936"/>
      <c r="F49" s="936"/>
      <c r="G49" s="936"/>
      <c r="H49" s="936"/>
      <c r="I49" s="936"/>
      <c r="J49" s="564"/>
    </row>
    <row r="50" spans="1:31" ht="15" thickBot="1">
      <c r="A50" s="318" t="s">
        <v>554</v>
      </c>
    </row>
    <row r="51" spans="1:31" ht="52.5" customHeight="1">
      <c r="A51" s="205"/>
      <c r="B51" s="974" t="s">
        <v>674</v>
      </c>
      <c r="C51" s="975" t="s">
        <v>673</v>
      </c>
      <c r="D51" s="975" t="s">
        <v>672</v>
      </c>
      <c r="E51" s="975" t="s">
        <v>671</v>
      </c>
      <c r="F51" s="975" t="s">
        <v>842</v>
      </c>
      <c r="G51" s="975" t="s">
        <v>670</v>
      </c>
      <c r="H51" s="975" t="s">
        <v>656</v>
      </c>
      <c r="I51" s="976" t="s">
        <v>657</v>
      </c>
      <c r="J51" s="1297" t="s">
        <v>356</v>
      </c>
      <c r="K51" s="1299" t="s">
        <v>378</v>
      </c>
      <c r="AD51" s="8"/>
      <c r="AE51" s="8"/>
    </row>
    <row r="52" spans="1:31" ht="15" thickBot="1">
      <c r="A52" s="570" t="s">
        <v>276</v>
      </c>
      <c r="B52" s="977">
        <f>Egg_Flock!B11+G52+I52+(Egg_Flock!B12*0.18)</f>
        <v>8207818.6382144075</v>
      </c>
      <c r="C52" s="978">
        <f>(Egg_Flock!B11-Egg_Flock!B13)+H52+I52+(Egg_Flock!B12*0.18)</f>
        <v>7682604.6805799985</v>
      </c>
      <c r="D52" s="978">
        <f>C52</f>
        <v>7682604.6805799985</v>
      </c>
      <c r="E52" s="978">
        <f>Egg_Flock!B11-Egg_Flock!B13+I52+(Egg_Flock!B12*0.06)</f>
        <v>7194155.6999799982</v>
      </c>
      <c r="F52" s="978">
        <f>Egg_Flock!B6</f>
        <v>10397000</v>
      </c>
      <c r="G52" s="978">
        <f>H52</f>
        <v>69778.425799999997</v>
      </c>
      <c r="H52" s="978">
        <f>Egg_Flock!B20</f>
        <v>69778.425799999997</v>
      </c>
      <c r="I52" s="979">
        <f>Egg_Flock!B18</f>
        <v>6977.8425799999995</v>
      </c>
      <c r="J52" s="1298"/>
      <c r="K52" s="1300"/>
      <c r="AD52" s="8"/>
      <c r="AE52" s="8"/>
    </row>
    <row r="53" spans="1:31" ht="15" thickBot="1">
      <c r="A53" s="683"/>
      <c r="B53" s="1301" t="s">
        <v>883</v>
      </c>
      <c r="C53" s="1302"/>
      <c r="D53" s="1302"/>
      <c r="E53" s="1302"/>
      <c r="F53" s="1302"/>
      <c r="G53" s="1302"/>
      <c r="H53" s="1302"/>
      <c r="I53" s="1303"/>
      <c r="J53" s="650" t="s">
        <v>353</v>
      </c>
      <c r="K53" s="649" t="s">
        <v>184</v>
      </c>
      <c r="AD53" s="8"/>
      <c r="AE53" s="8"/>
    </row>
    <row r="54" spans="1:31">
      <c r="A54" s="913" t="s">
        <v>478</v>
      </c>
      <c r="B54" s="12"/>
      <c r="C54" s="13"/>
      <c r="D54" s="13"/>
      <c r="E54" s="13"/>
      <c r="F54" s="13"/>
      <c r="G54" s="13"/>
      <c r="H54" s="13"/>
      <c r="I54" s="14"/>
      <c r="J54" s="13"/>
      <c r="K54" s="14"/>
      <c r="AD54" s="8"/>
      <c r="AE54" s="8"/>
    </row>
    <row r="55" spans="1:31">
      <c r="A55" s="683" t="s">
        <v>363</v>
      </c>
      <c r="B55" s="602">
        <f t="shared" ref="B55:D55" si="33">B$52*B38</f>
        <v>4512899.7944870731</v>
      </c>
      <c r="C55" s="599">
        <f t="shared" si="33"/>
        <v>8940361.457721075</v>
      </c>
      <c r="D55" s="599">
        <f t="shared" si="33"/>
        <v>12073752.773906158</v>
      </c>
      <c r="E55" s="599">
        <f>E$52*E38</f>
        <v>3474249.0637838109</v>
      </c>
      <c r="F55" s="599">
        <f>F$52*F38*0.81</f>
        <v>155895387.04648161</v>
      </c>
      <c r="G55" s="599">
        <f t="shared" ref="G55:I58" si="34">G$52*G38</f>
        <v>117942.49974047858</v>
      </c>
      <c r="H55" s="599">
        <f t="shared" si="34"/>
        <v>827494.75936678273</v>
      </c>
      <c r="I55" s="621">
        <f t="shared" si="34"/>
        <v>82749.475936678267</v>
      </c>
      <c r="J55" s="599">
        <f>SUM(B55:I55)/907.18474</f>
        <v>204947.05066514199</v>
      </c>
      <c r="K55" s="621">
        <f>J55*Feed_Composition!E9*2000</f>
        <v>1229682.3039908521</v>
      </c>
      <c r="AD55" s="8"/>
      <c r="AE55" s="8"/>
    </row>
    <row r="56" spans="1:31">
      <c r="A56" s="683" t="s">
        <v>531</v>
      </c>
      <c r="B56" s="602">
        <f t="shared" ref="B56:D56" si="35">B$52*B39</f>
        <v>2162644.5625417023</v>
      </c>
      <c r="C56" s="599">
        <f t="shared" si="35"/>
        <v>2323572.8555882783</v>
      </c>
      <c r="D56" s="599">
        <f t="shared" si="35"/>
        <v>2883149.604939654</v>
      </c>
      <c r="E56" s="599">
        <f>E$52*E39</f>
        <v>1060278.445838677</v>
      </c>
      <c r="F56" s="599">
        <f t="shared" ref="F56:F65" si="36">F$52*F39*0.81</f>
        <v>52026522.840485744</v>
      </c>
      <c r="G56" s="599">
        <f t="shared" si="34"/>
        <v>35993.933660866838</v>
      </c>
      <c r="H56" s="599">
        <f t="shared" si="34"/>
        <v>276157.46568397142</v>
      </c>
      <c r="I56" s="621">
        <f t="shared" si="34"/>
        <v>27615.746568397139</v>
      </c>
      <c r="J56" s="599">
        <f>SUM(B56:I56)/907.18474</f>
        <v>67016.047310614245</v>
      </c>
      <c r="K56" s="621">
        <f>J56*Feed_Composition!E6*2000</f>
        <v>938224.66234859952</v>
      </c>
      <c r="AD56" s="8"/>
      <c r="AE56" s="8"/>
    </row>
    <row r="57" spans="1:31">
      <c r="A57" s="683" t="s">
        <v>542</v>
      </c>
      <c r="B57" s="602">
        <f t="shared" ref="B57:D57" si="37">B$52*B40</f>
        <v>142480.95511412542</v>
      </c>
      <c r="C57" s="599">
        <f t="shared" si="37"/>
        <v>0</v>
      </c>
      <c r="D57" s="599">
        <f t="shared" si="37"/>
        <v>0</v>
      </c>
      <c r="E57" s="599">
        <f>E$52*E40</f>
        <v>56877.822357414196</v>
      </c>
      <c r="F57" s="599">
        <f t="shared" si="36"/>
        <v>2823714.3546951301</v>
      </c>
      <c r="G57" s="599">
        <f t="shared" si="34"/>
        <v>1930.8669083506277</v>
      </c>
      <c r="H57" s="599">
        <f t="shared" si="34"/>
        <v>14988.312834184733</v>
      </c>
      <c r="I57" s="621">
        <f t="shared" si="34"/>
        <v>1498.8312834184733</v>
      </c>
      <c r="J57" s="599">
        <f>SUM(B57:I57)/907.18474</f>
        <v>3352.6700892175754</v>
      </c>
      <c r="K57" s="621">
        <f>J57*2000*Feed_Composition!E27</f>
        <v>0</v>
      </c>
      <c r="AD57" s="8"/>
      <c r="AE57" s="8"/>
    </row>
    <row r="58" spans="1:31">
      <c r="A58" s="683" t="s">
        <v>534</v>
      </c>
      <c r="B58" s="602">
        <f t="shared" ref="B58:D60" si="38">B$52*B41</f>
        <v>0</v>
      </c>
      <c r="C58" s="599">
        <f t="shared" si="38"/>
        <v>0</v>
      </c>
      <c r="D58" s="599">
        <f t="shared" si="38"/>
        <v>0</v>
      </c>
      <c r="E58" s="599">
        <f>E$52*E41</f>
        <v>0</v>
      </c>
      <c r="F58" s="599">
        <f t="shared" si="36"/>
        <v>0</v>
      </c>
      <c r="G58" s="599">
        <f t="shared" si="34"/>
        <v>0</v>
      </c>
      <c r="H58" s="599">
        <f t="shared" si="34"/>
        <v>0</v>
      </c>
      <c r="I58" s="621">
        <f t="shared" si="34"/>
        <v>0</v>
      </c>
      <c r="J58" s="599">
        <f>SUM(B58:I58)/907.18474</f>
        <v>0</v>
      </c>
      <c r="K58" s="621">
        <f>J58*Feed_Composition!E6*2000</f>
        <v>0</v>
      </c>
      <c r="AD58" s="8"/>
      <c r="AE58" s="8"/>
    </row>
    <row r="59" spans="1:31">
      <c r="A59" s="683" t="s">
        <v>663</v>
      </c>
      <c r="B59" s="602">
        <f t="shared" si="38"/>
        <v>0</v>
      </c>
      <c r="C59" s="599">
        <f t="shared" si="38"/>
        <v>0</v>
      </c>
      <c r="D59" s="599">
        <f t="shared" si="38"/>
        <v>0</v>
      </c>
      <c r="E59" s="599">
        <f t="shared" ref="E59:G59" si="39">E$52*E42</f>
        <v>64718.240576642529</v>
      </c>
      <c r="F59" s="599">
        <f t="shared" si="36"/>
        <v>3212953.9661086709</v>
      </c>
      <c r="G59" s="599">
        <f t="shared" si="39"/>
        <v>2197.0304754437334</v>
      </c>
      <c r="H59" s="599">
        <f t="shared" ref="H59:H60" si="40">H$52*H42</f>
        <v>17054.401797334318</v>
      </c>
      <c r="I59" s="621">
        <f t="shared" ref="I59" si="41">I$52*I42</f>
        <v>1705.4401797334317</v>
      </c>
      <c r="J59" s="599">
        <f t="shared" ref="J59:J60" si="42">SUM(B59:I59)/907.18474</f>
        <v>3636.1161444777222</v>
      </c>
      <c r="K59" s="621">
        <f>J59*Feed_Composition!E30*2000</f>
        <v>94902.631370868548</v>
      </c>
      <c r="X59" s="8"/>
      <c r="Y59" s="8"/>
      <c r="Z59" s="8"/>
      <c r="AA59" s="8"/>
      <c r="AB59" s="8"/>
      <c r="AC59" s="8"/>
      <c r="AD59" s="8"/>
      <c r="AE59" s="8"/>
    </row>
    <row r="60" spans="1:31">
      <c r="A60" s="683" t="s">
        <v>664</v>
      </c>
      <c r="B60" s="602">
        <f t="shared" si="38"/>
        <v>0</v>
      </c>
      <c r="C60" s="599">
        <f t="shared" si="38"/>
        <v>0</v>
      </c>
      <c r="D60" s="599">
        <f t="shared" si="38"/>
        <v>0</v>
      </c>
      <c r="E60" s="599">
        <f t="shared" ref="E60:G60" si="43">E$52*E43</f>
        <v>769139.832465193</v>
      </c>
      <c r="F60" s="599">
        <f t="shared" si="36"/>
        <v>38531276.598427869</v>
      </c>
      <c r="G60" s="599">
        <f t="shared" si="43"/>
        <v>26110.469579322758</v>
      </c>
      <c r="H60" s="599">
        <f t="shared" si="40"/>
        <v>204524.52161015119</v>
      </c>
      <c r="I60" s="621">
        <f t="shared" ref="I60" si="44">I$52*I43</f>
        <v>2772.8378743241756</v>
      </c>
      <c r="J60" s="599">
        <f t="shared" si="42"/>
        <v>43578.581645847415</v>
      </c>
      <c r="K60" s="621">
        <f>J60*Feed_Composition!E31*2000</f>
        <v>416611.24053430132</v>
      </c>
      <c r="X60" s="8"/>
      <c r="Y60" s="8"/>
      <c r="Z60" s="8"/>
      <c r="AA60" s="8"/>
      <c r="AB60" s="8"/>
      <c r="AC60" s="8"/>
      <c r="AD60" s="8"/>
      <c r="AE60" s="8"/>
    </row>
    <row r="61" spans="1:31">
      <c r="A61" s="683" t="s">
        <v>532</v>
      </c>
      <c r="B61" s="602">
        <f t="shared" ref="B61:D61" si="45">B$52*B44</f>
        <v>0</v>
      </c>
      <c r="C61" s="599">
        <f t="shared" si="45"/>
        <v>74158.241376364444</v>
      </c>
      <c r="D61" s="599">
        <f t="shared" si="45"/>
        <v>382922.65257430892</v>
      </c>
      <c r="E61" s="599">
        <f>E$52*E44</f>
        <v>216135.72495817393</v>
      </c>
      <c r="F61" s="599">
        <f t="shared" si="36"/>
        <v>12697302.214945765</v>
      </c>
      <c r="G61" s="599">
        <f t="shared" ref="G61:I65" si="46">G$52*G44</f>
        <v>7337.2942517323854</v>
      </c>
      <c r="H61" s="599">
        <f t="shared" si="46"/>
        <v>67397.446711050667</v>
      </c>
      <c r="I61" s="621">
        <f t="shared" si="46"/>
        <v>6739.744671105067</v>
      </c>
      <c r="J61" s="599">
        <f>SUM(B61:I61)/907.18474</f>
        <v>14828.284390551476</v>
      </c>
      <c r="K61" s="621">
        <f>J61*Feed_Composition!E26*2000</f>
        <v>1186262.7512441182</v>
      </c>
      <c r="X61" s="8"/>
      <c r="Y61" s="8"/>
      <c r="Z61" s="8"/>
      <c r="AA61" s="8"/>
      <c r="AB61" s="8"/>
      <c r="AC61" s="8"/>
      <c r="AD61" s="8"/>
      <c r="AE61" s="8"/>
    </row>
    <row r="62" spans="1:31">
      <c r="A62" s="683" t="s">
        <v>234</v>
      </c>
      <c r="B62" s="602">
        <f t="shared" ref="B62:D62" si="47">B$52*B45</f>
        <v>0</v>
      </c>
      <c r="C62" s="599">
        <f t="shared" si="47"/>
        <v>1408225.9730838048</v>
      </c>
      <c r="D62" s="599">
        <f t="shared" si="47"/>
        <v>1817874.9085369825</v>
      </c>
      <c r="E62" s="599">
        <f>E$52*E45</f>
        <v>684050.6102185013</v>
      </c>
      <c r="F62" s="599">
        <f t="shared" si="36"/>
        <v>35997463.584148094</v>
      </c>
      <c r="G62" s="599">
        <f t="shared" si="46"/>
        <v>23221.892684430219</v>
      </c>
      <c r="H62" s="599">
        <f t="shared" si="46"/>
        <v>191075.00889360945</v>
      </c>
      <c r="I62" s="621">
        <f t="shared" si="46"/>
        <v>19107.500889360945</v>
      </c>
      <c r="J62" s="599">
        <f>SUM(B62:I62)/907.18474</f>
        <v>44247.899803136883</v>
      </c>
      <c r="K62" s="621">
        <f>J62*Feed_Composition!E15*2000</f>
        <v>734515.13673207234</v>
      </c>
      <c r="L62" s="572"/>
      <c r="M62" s="573"/>
      <c r="N62" s="573"/>
      <c r="O62" s="573"/>
      <c r="P62" s="573"/>
      <c r="Q62" s="573"/>
      <c r="R62" s="573"/>
      <c r="S62" s="573"/>
      <c r="T62" s="573"/>
      <c r="U62" s="573"/>
      <c r="V62" s="573"/>
      <c r="W62" s="573"/>
      <c r="X62" s="745"/>
      <c r="Y62" s="745"/>
      <c r="Z62" s="745"/>
      <c r="AA62" s="745"/>
      <c r="AB62" s="745"/>
      <c r="AC62" s="745"/>
      <c r="AD62" s="8"/>
      <c r="AE62" s="8"/>
    </row>
    <row r="63" spans="1:31">
      <c r="A63" s="683" t="s">
        <v>533</v>
      </c>
      <c r="B63" s="602">
        <f t="shared" ref="B63:D63" si="48">B$52*B46</f>
        <v>151793.43584053885</v>
      </c>
      <c r="C63" s="599">
        <f t="shared" si="48"/>
        <v>217010.43265925592</v>
      </c>
      <c r="D63" s="599">
        <f t="shared" si="48"/>
        <v>219676.67963473513</v>
      </c>
      <c r="E63" s="599">
        <f>E$52*E46</f>
        <v>26542.983766793292</v>
      </c>
      <c r="F63" s="599">
        <f t="shared" si="36"/>
        <v>1317733.365524394</v>
      </c>
      <c r="G63" s="599">
        <f t="shared" si="46"/>
        <v>901.07122389695962</v>
      </c>
      <c r="H63" s="599">
        <f t="shared" si="46"/>
        <v>6994.5459892862091</v>
      </c>
      <c r="I63" s="621">
        <f t="shared" si="46"/>
        <v>699.45459892862095</v>
      </c>
      <c r="J63" s="599">
        <f>SUM(B63:I63)/907.18474</f>
        <v>2139.974234176193</v>
      </c>
      <c r="K63" s="621">
        <f>J63*Feed_Composition!E7*2000</f>
        <v>826030.05439201056</v>
      </c>
      <c r="L63" s="575"/>
      <c r="M63" s="580"/>
      <c r="N63" s="336"/>
      <c r="O63" s="336"/>
      <c r="P63" s="336"/>
      <c r="Q63" s="336"/>
      <c r="R63" s="580"/>
      <c r="S63" s="580"/>
      <c r="T63" s="580"/>
      <c r="U63" s="580"/>
      <c r="V63" s="580"/>
      <c r="W63" s="580"/>
      <c r="X63" s="746"/>
      <c r="Y63" s="318"/>
      <c r="Z63" s="208"/>
      <c r="AA63" s="208"/>
      <c r="AB63" s="208"/>
      <c r="AC63" s="208"/>
      <c r="AD63" s="8"/>
      <c r="AE63" s="8"/>
    </row>
    <row r="64" spans="1:31">
      <c r="A64" s="683" t="s">
        <v>606</v>
      </c>
      <c r="B64" s="602">
        <f t="shared" ref="B64:D64" si="49">B$52*B47</f>
        <v>85245.015880245977</v>
      </c>
      <c r="C64" s="599">
        <f t="shared" si="49"/>
        <v>232622.69400164849</v>
      </c>
      <c r="D64" s="599">
        <f t="shared" si="49"/>
        <v>261999.7096561061</v>
      </c>
      <c r="E64" s="599">
        <f>E$52*E47</f>
        <v>379185.48238276126</v>
      </c>
      <c r="F64" s="599">
        <f t="shared" si="36"/>
        <v>36745936.135765955</v>
      </c>
      <c r="G64" s="599">
        <f t="shared" si="46"/>
        <v>12872.446055670853</v>
      </c>
      <c r="H64" s="599">
        <f t="shared" si="46"/>
        <v>195047.91101552401</v>
      </c>
      <c r="I64" s="621">
        <f t="shared" si="46"/>
        <v>19504.791101552401</v>
      </c>
      <c r="J64" s="599">
        <f>SUM(B64:I64)/907.18474</f>
        <v>41813.329207741604</v>
      </c>
      <c r="K64" s="621">
        <f>J64*Feed_Composition!E11*2000</f>
        <v>16725.33168309664</v>
      </c>
      <c r="L64" s="572"/>
      <c r="W64" s="5"/>
      <c r="X64" s="8"/>
      <c r="Y64" s="8"/>
      <c r="Z64" s="8"/>
      <c r="AA64" s="8"/>
      <c r="AB64" s="8"/>
      <c r="AC64" s="8"/>
      <c r="AD64" s="8"/>
      <c r="AE64" s="8"/>
    </row>
    <row r="65" spans="1:31">
      <c r="A65" s="683" t="s">
        <v>231</v>
      </c>
      <c r="B65" s="602">
        <f t="shared" ref="B65:D65" si="50">B$52*B48</f>
        <v>108382.94876202606</v>
      </c>
      <c r="C65" s="599">
        <f t="shared" si="50"/>
        <v>799347.78073049546</v>
      </c>
      <c r="D65" s="599">
        <f t="shared" si="50"/>
        <v>352691.91684475745</v>
      </c>
      <c r="E65" s="599">
        <f>E$52*E48</f>
        <v>109963.78989100127</v>
      </c>
      <c r="F65" s="599">
        <f t="shared" si="36"/>
        <v>2334270.5332147181</v>
      </c>
      <c r="G65" s="599">
        <f t="shared" si="46"/>
        <v>3733.0093561445642</v>
      </c>
      <c r="H65" s="599">
        <f t="shared" si="46"/>
        <v>12390.338609593124</v>
      </c>
      <c r="I65" s="621">
        <f t="shared" si="46"/>
        <v>1239.0338609593123</v>
      </c>
      <c r="J65" s="599">
        <f>SUM(B65:I65)/907.18474</f>
        <v>4102.8240303840366</v>
      </c>
      <c r="K65" s="621">
        <f>J65*Feed_Composition!E16*2000</f>
        <v>0</v>
      </c>
      <c r="L65" s="575"/>
      <c r="M65" s="5"/>
      <c r="S65" s="623"/>
      <c r="U65" s="566"/>
      <c r="V65" s="564"/>
      <c r="W65" s="5"/>
      <c r="X65" s="599"/>
      <c r="Y65" s="599"/>
      <c r="Z65" s="596"/>
      <c r="AA65" s="596"/>
      <c r="AB65" s="596"/>
      <c r="AC65" s="8"/>
      <c r="AD65" s="8"/>
      <c r="AE65" s="8"/>
    </row>
    <row r="66" spans="1:31" ht="15" thickBot="1">
      <c r="A66" s="684"/>
      <c r="B66" s="713"/>
      <c r="C66" s="641"/>
      <c r="D66" s="641"/>
      <c r="E66" s="641"/>
      <c r="F66" s="641"/>
      <c r="G66" s="641"/>
      <c r="H66" s="641"/>
      <c r="I66" s="622"/>
      <c r="J66" s="599"/>
      <c r="K66" s="621"/>
      <c r="L66" s="569"/>
      <c r="M66" s="5"/>
      <c r="S66" s="623"/>
      <c r="W66" s="5"/>
      <c r="X66" s="8"/>
      <c r="Y66" s="8"/>
      <c r="Z66" s="596"/>
      <c r="AA66" s="596"/>
      <c r="AB66" s="596"/>
      <c r="AC66" s="8"/>
      <c r="AD66" s="8"/>
      <c r="AE66" s="8"/>
    </row>
    <row r="67" spans="1:31">
      <c r="J67" s="841">
        <f>SUM(J55:J65)</f>
        <v>429662.77752128919</v>
      </c>
      <c r="K67" s="842">
        <f>SUM(K55:K66)</f>
        <v>5442954.11229592</v>
      </c>
      <c r="L67" s="843" t="s">
        <v>773</v>
      </c>
      <c r="M67" s="844"/>
      <c r="S67" s="623"/>
      <c r="W67" s="5"/>
      <c r="X67" s="8"/>
      <c r="Y67" s="8"/>
      <c r="Z67" s="596"/>
      <c r="AA67" s="596"/>
      <c r="AB67" s="596"/>
      <c r="AC67" s="8"/>
      <c r="AD67" s="8"/>
      <c r="AE67" s="8"/>
    </row>
    <row r="68" spans="1:31" ht="15" thickBot="1">
      <c r="J68" s="845" t="s">
        <v>774</v>
      </c>
      <c r="K68" s="846" t="s">
        <v>348</v>
      </c>
      <c r="L68" s="847"/>
      <c r="M68" s="848"/>
      <c r="S68" s="623"/>
      <c r="W68" s="5"/>
      <c r="X68" s="8"/>
      <c r="Y68" s="8"/>
      <c r="Z68" s="596"/>
      <c r="AA68" s="596"/>
      <c r="AB68" s="596"/>
      <c r="AC68" s="8"/>
      <c r="AD68" s="8"/>
      <c r="AE68" s="8"/>
    </row>
    <row r="69" spans="1:31">
      <c r="M69" s="5"/>
      <c r="S69" s="623"/>
      <c r="W69" s="5"/>
      <c r="X69" s="8"/>
      <c r="Y69" s="8"/>
      <c r="Z69" s="596"/>
      <c r="AA69" s="596"/>
      <c r="AB69" s="596"/>
      <c r="AC69" s="8"/>
    </row>
    <row r="70" spans="1:31">
      <c r="M70" s="5"/>
      <c r="S70" s="623"/>
      <c r="W70" s="5"/>
      <c r="X70" s="8"/>
      <c r="Y70" s="8"/>
      <c r="Z70" s="596"/>
      <c r="AA70" s="596"/>
      <c r="AB70" s="596"/>
      <c r="AC70" s="8"/>
    </row>
    <row r="71" spans="1:31">
      <c r="L71" s="569"/>
      <c r="M71" s="5"/>
      <c r="S71" s="623"/>
      <c r="W71" s="5"/>
      <c r="X71" s="8"/>
      <c r="Y71" s="8"/>
      <c r="Z71" s="596"/>
      <c r="AA71" s="596"/>
      <c r="AB71" s="596"/>
      <c r="AC71" s="8"/>
    </row>
    <row r="72" spans="1:31">
      <c r="L72" s="569"/>
      <c r="M72" s="5"/>
      <c r="S72" s="623"/>
      <c r="U72" s="566"/>
      <c r="V72" s="564"/>
      <c r="W72" s="5"/>
      <c r="X72" s="599"/>
      <c r="Y72" s="599"/>
      <c r="Z72" s="596"/>
      <c r="AA72" s="596"/>
      <c r="AB72" s="596"/>
      <c r="AC72" s="8"/>
    </row>
    <row r="73" spans="1:31">
      <c r="L73" s="569"/>
      <c r="M73" s="5"/>
      <c r="S73" s="623"/>
      <c r="U73" s="566"/>
      <c r="V73" s="564"/>
      <c r="W73" s="5"/>
      <c r="X73" s="599"/>
      <c r="Y73" s="599"/>
      <c r="Z73" s="596"/>
      <c r="AA73" s="596"/>
      <c r="AB73" s="596"/>
      <c r="AC73" s="8"/>
    </row>
    <row r="74" spans="1:31">
      <c r="L74" s="569"/>
      <c r="M74" s="5"/>
      <c r="S74" s="623"/>
      <c r="U74" s="566"/>
      <c r="V74" s="564"/>
      <c r="W74" s="5"/>
      <c r="X74" s="599"/>
      <c r="Y74" s="599"/>
      <c r="Z74" s="596"/>
      <c r="AA74" s="596"/>
      <c r="AB74" s="596"/>
      <c r="AC74" s="8"/>
    </row>
    <row r="75" spans="1:31">
      <c r="L75" s="569"/>
      <c r="M75" s="5"/>
      <c r="S75" s="623"/>
      <c r="T75" s="350"/>
      <c r="W75" s="5"/>
      <c r="X75" s="8"/>
      <c r="Y75" s="8"/>
      <c r="Z75" s="596"/>
      <c r="AA75" s="596"/>
      <c r="AB75" s="596"/>
      <c r="AC75" s="8"/>
    </row>
    <row r="76" spans="1:31">
      <c r="L76" s="569"/>
      <c r="M76" s="5"/>
      <c r="S76" s="623"/>
      <c r="T76" s="350"/>
      <c r="X76" s="8"/>
      <c r="Y76" s="8"/>
      <c r="Z76" s="596"/>
      <c r="AA76" s="596"/>
      <c r="AB76" s="596"/>
      <c r="AC76" s="8"/>
    </row>
    <row r="77" spans="1:31">
      <c r="L77" s="569"/>
      <c r="M77" s="593"/>
    </row>
    <row r="79" spans="1:31">
      <c r="L79" s="569"/>
    </row>
    <row r="80" spans="1:31">
      <c r="L80" s="569"/>
    </row>
    <row r="81" spans="12:12">
      <c r="L81" s="569"/>
    </row>
    <row r="82" spans="12:12">
      <c r="L82" s="569"/>
    </row>
  </sheetData>
  <sheetProtection password="A4FF" sheet="1" objects="1" scenarios="1"/>
  <mergeCells count="3">
    <mergeCell ref="J51:J52"/>
    <mergeCell ref="K51:K52"/>
    <mergeCell ref="B53:I5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9" tint="0.59999389629810485"/>
  </sheetPr>
  <dimension ref="A1:W32"/>
  <sheetViews>
    <sheetView workbookViewId="0">
      <selection activeCell="B5" sqref="B5:I5"/>
    </sheetView>
  </sheetViews>
  <sheetFormatPr baseColWidth="10" defaultColWidth="8.83203125" defaultRowHeight="14" x14ac:dyDescent="0"/>
  <cols>
    <col min="1" max="1" width="27.1640625" customWidth="1"/>
    <col min="2" max="2" width="19.83203125" customWidth="1"/>
    <col min="3" max="3" width="16.33203125" customWidth="1"/>
    <col min="4" max="4" width="14.6640625" customWidth="1"/>
    <col min="5" max="5" width="13.83203125" customWidth="1"/>
    <col min="6" max="6" width="15" customWidth="1"/>
    <col min="7" max="7" width="14.5" customWidth="1"/>
    <col min="8" max="8" width="16.6640625" customWidth="1"/>
    <col min="9" max="9" width="13.5" customWidth="1"/>
  </cols>
  <sheetData>
    <row r="1" spans="1:23" ht="19" thickBot="1">
      <c r="A1" s="748" t="s">
        <v>727</v>
      </c>
      <c r="B1" s="575"/>
      <c r="C1" s="575"/>
      <c r="D1" s="63"/>
      <c r="E1" s="63"/>
      <c r="F1" s="63"/>
      <c r="G1" s="575"/>
      <c r="H1" s="63"/>
      <c r="I1" s="63"/>
    </row>
    <row r="2" spans="1:23">
      <c r="A2" s="63"/>
      <c r="B2" s="575"/>
      <c r="C2" s="575"/>
      <c r="D2" s="63"/>
      <c r="E2" s="63"/>
      <c r="F2" s="63"/>
      <c r="G2" s="575"/>
      <c r="H2" s="63"/>
      <c r="I2" s="63"/>
    </row>
    <row r="3" spans="1:23">
      <c r="A3" s="63"/>
      <c r="B3" s="575"/>
      <c r="C3" s="575"/>
      <c r="D3" s="692"/>
      <c r="E3" s="63"/>
      <c r="F3" s="63"/>
      <c r="G3" s="575"/>
      <c r="H3" s="63"/>
      <c r="I3" s="63"/>
    </row>
    <row r="4" spans="1:23" ht="15" thickBot="1">
      <c r="A4" s="63"/>
      <c r="B4" s="575"/>
      <c r="C4" s="575"/>
      <c r="D4" s="692"/>
      <c r="E4" s="63"/>
      <c r="F4" s="63"/>
      <c r="G4" s="575"/>
      <c r="H4" s="63"/>
      <c r="I4" s="63"/>
    </row>
    <row r="5" spans="1:23" ht="29" thickBot="1">
      <c r="A5" s="574" t="s">
        <v>334</v>
      </c>
      <c r="B5" s="835" t="s">
        <v>490</v>
      </c>
      <c r="C5" s="835" t="s">
        <v>695</v>
      </c>
      <c r="D5" s="835" t="s">
        <v>183</v>
      </c>
      <c r="E5" s="835" t="s">
        <v>337</v>
      </c>
      <c r="F5" s="835" t="s">
        <v>337</v>
      </c>
      <c r="G5" s="835" t="s">
        <v>335</v>
      </c>
      <c r="H5" s="837" t="s">
        <v>357</v>
      </c>
      <c r="I5" s="838" t="s">
        <v>358</v>
      </c>
      <c r="K5" s="8"/>
      <c r="L5" s="8"/>
      <c r="M5" s="8"/>
    </row>
    <row r="6" spans="1:23" ht="16">
      <c r="A6" s="794"/>
      <c r="B6" s="795" t="s">
        <v>184</v>
      </c>
      <c r="C6" s="795"/>
      <c r="D6" s="1304" t="s">
        <v>339</v>
      </c>
      <c r="E6" s="1304"/>
      <c r="F6" s="716" t="s">
        <v>340</v>
      </c>
      <c r="G6" s="795" t="s">
        <v>930</v>
      </c>
      <c r="H6" s="716" t="s">
        <v>359</v>
      </c>
      <c r="I6" s="797" t="s">
        <v>359</v>
      </c>
      <c r="K6" s="8"/>
      <c r="L6" s="718" t="s">
        <v>650</v>
      </c>
      <c r="M6" s="719"/>
      <c r="N6" s="719"/>
      <c r="O6" s="719"/>
      <c r="P6" s="719"/>
      <c r="Q6" s="719"/>
      <c r="R6" s="719"/>
      <c r="S6" s="719"/>
      <c r="T6" s="719"/>
      <c r="U6" s="719"/>
      <c r="V6" s="719"/>
      <c r="W6" s="699"/>
    </row>
    <row r="7" spans="1:23">
      <c r="A7" s="794"/>
      <c r="B7" s="798"/>
      <c r="C7" s="798"/>
      <c r="D7" s="682"/>
      <c r="E7" s="682"/>
      <c r="F7" s="682"/>
      <c r="G7" s="746"/>
      <c r="H7" s="682"/>
      <c r="I7" s="799"/>
      <c r="K7" s="208"/>
      <c r="L7" s="721"/>
      <c r="M7" s="698"/>
      <c r="N7" s="698"/>
      <c r="O7" s="698"/>
      <c r="P7" s="698"/>
      <c r="Q7" s="698"/>
      <c r="R7" s="698"/>
      <c r="S7" s="698"/>
      <c r="T7" s="698"/>
      <c r="U7" s="698"/>
      <c r="V7" s="698"/>
      <c r="W7" s="700"/>
    </row>
    <row r="8" spans="1:23">
      <c r="A8" s="800"/>
      <c r="B8" s="801"/>
      <c r="C8" s="801"/>
      <c r="D8" s="802"/>
      <c r="E8" s="802"/>
      <c r="F8" s="802"/>
      <c r="G8" s="803"/>
      <c r="H8" s="802"/>
      <c r="I8" s="804"/>
      <c r="K8" s="208"/>
      <c r="L8" s="1305" t="s">
        <v>811</v>
      </c>
      <c r="M8" s="1306"/>
      <c r="N8" s="1306"/>
      <c r="O8" s="1306"/>
      <c r="P8" s="1306"/>
      <c r="Q8" s="1306"/>
      <c r="R8" s="1306"/>
      <c r="S8" s="1306"/>
      <c r="T8" s="1306"/>
      <c r="U8" s="1306"/>
      <c r="V8" s="1306"/>
      <c r="W8" s="1307"/>
    </row>
    <row r="9" spans="1:23">
      <c r="A9" s="594" t="s">
        <v>678</v>
      </c>
      <c r="B9" s="805">
        <f>Egg_Nutrient!F4</f>
        <v>4.6032520344202439</v>
      </c>
      <c r="C9" s="806">
        <v>364</v>
      </c>
      <c r="D9" s="807">
        <v>7.8106447999999997E-4</v>
      </c>
      <c r="E9" s="783">
        <v>0.16440510699945199</v>
      </c>
      <c r="F9" s="8"/>
      <c r="G9" s="808">
        <f>Egg_Flock!B6</f>
        <v>10397000</v>
      </c>
      <c r="H9" s="676">
        <f>C9*D9*G9</f>
        <v>2955944.77307584</v>
      </c>
      <c r="I9" s="809">
        <f>C9*E9*G9</f>
        <v>622192442.680282</v>
      </c>
      <c r="K9" s="208"/>
      <c r="L9" s="1308"/>
      <c r="M9" s="1306"/>
      <c r="N9" s="1306"/>
      <c r="O9" s="1306"/>
      <c r="P9" s="1306"/>
      <c r="Q9" s="1306"/>
      <c r="R9" s="1306"/>
      <c r="S9" s="1306"/>
      <c r="T9" s="1306"/>
      <c r="U9" s="1306"/>
      <c r="V9" s="1306"/>
      <c r="W9" s="1307"/>
    </row>
    <row r="10" spans="1:23">
      <c r="A10" s="810" t="s">
        <v>679</v>
      </c>
      <c r="B10" s="805">
        <f>Egg_Nutrient!H4</f>
        <v>3.83</v>
      </c>
      <c r="C10" s="682">
        <v>287</v>
      </c>
      <c r="D10" s="807">
        <v>7.9693760000000005E-4</v>
      </c>
      <c r="E10" s="783">
        <v>0.17318558787945201</v>
      </c>
      <c r="F10" s="783"/>
      <c r="G10" s="808">
        <f>Egg_Flock!B20</f>
        <v>69778.425799999997</v>
      </c>
      <c r="H10" s="676">
        <f>C10*D10*G10</f>
        <v>15959.797691194233</v>
      </c>
      <c r="I10" s="809">
        <f>C10*E10*G10</f>
        <v>3468285.2780275317</v>
      </c>
      <c r="K10" s="714"/>
      <c r="L10" s="1291"/>
      <c r="M10" s="1289"/>
      <c r="N10" s="1289"/>
      <c r="O10" s="1289"/>
      <c r="P10" s="1289"/>
      <c r="Q10" s="1289"/>
      <c r="R10" s="1289"/>
      <c r="S10" s="1289"/>
      <c r="T10" s="1289"/>
      <c r="U10" s="1289"/>
      <c r="V10" s="1289"/>
      <c r="W10" s="1290"/>
    </row>
    <row r="11" spans="1:23">
      <c r="A11" s="594"/>
      <c r="B11" s="682"/>
      <c r="C11" s="682"/>
      <c r="D11" s="807"/>
      <c r="E11" s="783"/>
      <c r="F11" s="783"/>
      <c r="G11" s="808"/>
      <c r="H11" s="676"/>
      <c r="I11" s="809"/>
      <c r="K11" s="208"/>
      <c r="L11" s="1291"/>
      <c r="M11" s="1289"/>
      <c r="N11" s="1289"/>
      <c r="O11" s="1289"/>
      <c r="P11" s="1289"/>
      <c r="Q11" s="1289"/>
      <c r="R11" s="1289"/>
      <c r="S11" s="1289"/>
      <c r="T11" s="1289"/>
      <c r="U11" s="1289"/>
      <c r="V11" s="1289"/>
      <c r="W11" s="1290"/>
    </row>
    <row r="12" spans="1:23">
      <c r="A12" s="594"/>
      <c r="B12" s="682"/>
      <c r="C12" s="682"/>
      <c r="D12" s="807"/>
      <c r="E12" s="783"/>
      <c r="F12" s="783"/>
      <c r="G12" s="808"/>
      <c r="H12" s="676"/>
      <c r="I12" s="809"/>
      <c r="K12" s="8"/>
      <c r="L12" s="721"/>
      <c r="M12" s="725" t="s">
        <v>729</v>
      </c>
      <c r="N12" s="698"/>
      <c r="O12" s="698"/>
      <c r="P12" s="698"/>
      <c r="Q12" s="698"/>
      <c r="R12" s="698"/>
      <c r="S12" s="698"/>
      <c r="T12" s="698"/>
      <c r="U12" s="698"/>
      <c r="V12" s="698"/>
      <c r="W12" s="700"/>
    </row>
    <row r="13" spans="1:23">
      <c r="A13" s="800"/>
      <c r="B13" s="802"/>
      <c r="C13" s="802"/>
      <c r="D13" s="811"/>
      <c r="E13" s="812"/>
      <c r="F13" s="812"/>
      <c r="G13" s="813"/>
      <c r="H13" s="669"/>
      <c r="I13" s="814"/>
      <c r="K13" s="8"/>
      <c r="L13" s="721"/>
      <c r="M13" s="725" t="s">
        <v>728</v>
      </c>
      <c r="N13" s="698"/>
      <c r="O13" s="698"/>
      <c r="P13" s="698"/>
      <c r="Q13" s="698"/>
      <c r="R13" s="698"/>
      <c r="S13" s="698"/>
      <c r="T13" s="698"/>
      <c r="U13" s="698"/>
      <c r="V13" s="698"/>
      <c r="W13" s="700"/>
    </row>
    <row r="14" spans="1:23">
      <c r="A14" s="815" t="s">
        <v>682</v>
      </c>
      <c r="B14" s="781">
        <v>0.77</v>
      </c>
      <c r="C14" s="682">
        <v>42</v>
      </c>
      <c r="D14" s="715">
        <v>1.6564063773403799E-4</v>
      </c>
      <c r="E14" s="783"/>
      <c r="F14" s="8"/>
      <c r="G14" s="808">
        <f>Egg_Nutrient!B52</f>
        <v>8207818.6382144075</v>
      </c>
      <c r="H14" s="676">
        <f>C14*D14*G14</f>
        <v>57101.029172844625</v>
      </c>
      <c r="I14" s="809">
        <f>C14*E14*G14</f>
        <v>0</v>
      </c>
      <c r="K14" s="8"/>
      <c r="L14" s="1288" t="s">
        <v>834</v>
      </c>
      <c r="M14" s="1289"/>
      <c r="N14" s="1289"/>
      <c r="O14" s="1289"/>
      <c r="P14" s="1289"/>
      <c r="Q14" s="1289"/>
      <c r="R14" s="1289"/>
      <c r="S14" s="1289"/>
      <c r="T14" s="1289"/>
      <c r="U14" s="1289"/>
      <c r="V14" s="1289"/>
      <c r="W14" s="1290"/>
    </row>
    <row r="15" spans="1:23" ht="16">
      <c r="A15" s="815" t="s">
        <v>683</v>
      </c>
      <c r="B15" s="781">
        <v>1.91</v>
      </c>
      <c r="C15" s="682">
        <v>42</v>
      </c>
      <c r="D15" s="816">
        <v>3.6051929434285701E-4</v>
      </c>
      <c r="E15" s="783"/>
      <c r="F15" s="783"/>
      <c r="G15" s="808">
        <f>Egg_Nutrient!C52</f>
        <v>7682604.6805799985</v>
      </c>
      <c r="H15" s="676">
        <f>C15*D15*G15</f>
        <v>116328.54316262892</v>
      </c>
      <c r="I15" s="809">
        <f>C15*E15*G15</f>
        <v>0</v>
      </c>
      <c r="K15" s="8"/>
      <c r="L15" s="1291"/>
      <c r="M15" s="1289"/>
      <c r="N15" s="1289"/>
      <c r="O15" s="1289"/>
      <c r="P15" s="1289"/>
      <c r="Q15" s="1289"/>
      <c r="R15" s="1289"/>
      <c r="S15" s="1289"/>
      <c r="T15" s="1289"/>
      <c r="U15" s="1289"/>
      <c r="V15" s="1289"/>
      <c r="W15" s="1290"/>
    </row>
    <row r="16" spans="1:23" ht="16">
      <c r="A16" s="815" t="s">
        <v>684</v>
      </c>
      <c r="B16" s="781">
        <v>2.89</v>
      </c>
      <c r="C16" s="682">
        <v>42</v>
      </c>
      <c r="D16" s="807">
        <v>4.6481850212987997E-4</v>
      </c>
      <c r="E16" s="783"/>
      <c r="F16" s="783"/>
      <c r="G16" s="808">
        <f>Egg_Nutrient!D52</f>
        <v>7682604.6805799985</v>
      </c>
      <c r="H16" s="676">
        <f>C16*D16*G16</f>
        <v>149982.7056034944</v>
      </c>
      <c r="I16" s="809"/>
      <c r="K16" s="8"/>
      <c r="L16" s="721"/>
      <c r="M16" s="1285" t="s">
        <v>577</v>
      </c>
      <c r="N16" s="1289"/>
      <c r="O16" s="1289"/>
      <c r="P16" s="1289"/>
      <c r="Q16" s="1289"/>
      <c r="R16" s="1289"/>
      <c r="S16" s="1289"/>
      <c r="T16" s="1289"/>
      <c r="U16" s="1289"/>
      <c r="V16" s="1289"/>
      <c r="W16" s="1290"/>
    </row>
    <row r="17" spans="1:23" ht="16">
      <c r="A17" s="815" t="s">
        <v>675</v>
      </c>
      <c r="B17" s="781">
        <v>3.25</v>
      </c>
      <c r="C17" s="682">
        <v>14</v>
      </c>
      <c r="D17" s="807">
        <v>4.8693869519841697E-4</v>
      </c>
      <c r="E17" s="783"/>
      <c r="F17" s="783"/>
      <c r="G17" s="808">
        <f>Egg_Nutrient!E52</f>
        <v>7194155.6999799982</v>
      </c>
      <c r="H17" s="676">
        <f t="shared" ref="H17:H19" si="0">C17*D17*G17</f>
        <v>49043.579054435198</v>
      </c>
      <c r="I17" s="809"/>
      <c r="K17" s="8"/>
      <c r="L17" s="721"/>
      <c r="M17" s="1289"/>
      <c r="N17" s="1289"/>
      <c r="O17" s="1289"/>
      <c r="P17" s="1289"/>
      <c r="Q17" s="1289"/>
      <c r="R17" s="1289"/>
      <c r="S17" s="1289"/>
      <c r="T17" s="1289"/>
      <c r="U17" s="1289"/>
      <c r="V17" s="1289"/>
      <c r="W17" s="1290"/>
    </row>
    <row r="18" spans="1:23" ht="17.25" customHeight="1">
      <c r="A18" s="815" t="s">
        <v>680</v>
      </c>
      <c r="B18" s="781">
        <f>Egg_Nutrient!H4</f>
        <v>3.83</v>
      </c>
      <c r="C18" s="682">
        <v>49</v>
      </c>
      <c r="D18" s="715">
        <v>4.8571775326530602E-4</v>
      </c>
      <c r="E18" s="783"/>
      <c r="F18" s="783"/>
      <c r="G18" s="808">
        <f>Egg_Nutrient!H52</f>
        <v>69778.425799999997</v>
      </c>
      <c r="H18" s="676">
        <f t="shared" si="0"/>
        <v>1660.7383900923273</v>
      </c>
      <c r="I18" s="809"/>
      <c r="K18" s="8"/>
      <c r="L18" s="721" t="s">
        <v>696</v>
      </c>
      <c r="M18" s="698"/>
      <c r="N18" s="698"/>
      <c r="O18" s="698"/>
      <c r="P18" s="698"/>
      <c r="Q18" s="698"/>
      <c r="R18" s="698"/>
      <c r="S18" s="698"/>
      <c r="T18" s="698"/>
      <c r="U18" s="698"/>
      <c r="V18" s="698"/>
      <c r="W18" s="700"/>
    </row>
    <row r="19" spans="1:23">
      <c r="A19" s="815" t="s">
        <v>681</v>
      </c>
      <c r="B19" s="781">
        <f>Egg_Nutrient!I4</f>
        <v>4.5599999999999996</v>
      </c>
      <c r="C19" s="682">
        <v>287</v>
      </c>
      <c r="D19" s="817">
        <v>5.5250000000000004E-4</v>
      </c>
      <c r="E19" s="8"/>
      <c r="F19" s="8"/>
      <c r="G19" s="782">
        <f>Egg_Nutrient!I52</f>
        <v>6977.8425799999995</v>
      </c>
      <c r="H19" s="676">
        <f t="shared" si="0"/>
        <v>1106.4590533041498</v>
      </c>
      <c r="I19" s="69"/>
      <c r="L19" s="721"/>
      <c r="M19" s="698"/>
      <c r="N19" s="698"/>
      <c r="O19" s="698"/>
      <c r="P19" s="698"/>
      <c r="Q19" s="698"/>
      <c r="R19" s="698"/>
      <c r="S19" s="698"/>
      <c r="T19" s="698"/>
      <c r="U19" s="698"/>
      <c r="V19" s="698"/>
      <c r="W19" s="700"/>
    </row>
    <row r="20" spans="1:23" ht="15" thickBot="1">
      <c r="A20" s="818"/>
      <c r="B20" s="819"/>
      <c r="C20" s="819"/>
      <c r="D20" s="820"/>
      <c r="E20" s="820"/>
      <c r="F20" s="820"/>
      <c r="G20" s="821"/>
      <c r="H20" s="822"/>
      <c r="I20" s="823"/>
      <c r="L20" s="702"/>
      <c r="M20" s="703"/>
      <c r="N20" s="703"/>
      <c r="O20" s="703"/>
      <c r="P20" s="703"/>
      <c r="Q20" s="703"/>
      <c r="R20" s="703"/>
      <c r="S20" s="703"/>
      <c r="T20" s="703"/>
      <c r="U20" s="703"/>
      <c r="V20" s="703"/>
      <c r="W20" s="704"/>
    </row>
    <row r="21" spans="1:23">
      <c r="A21" s="645"/>
      <c r="B21" s="686"/>
      <c r="C21" s="575"/>
      <c r="D21" s="583"/>
      <c r="E21" s="583"/>
      <c r="F21" s="583"/>
      <c r="G21" s="618"/>
      <c r="H21" s="597"/>
      <c r="I21" s="597"/>
    </row>
    <row r="22" spans="1:23">
      <c r="B22" s="575"/>
      <c r="D22" s="583"/>
      <c r="E22" s="583"/>
      <c r="F22" s="583"/>
      <c r="G22" s="618"/>
      <c r="H22" s="597"/>
      <c r="I22" s="597"/>
    </row>
    <row r="23" spans="1:23">
      <c r="A23" s="645"/>
      <c r="B23" s="575"/>
      <c r="C23" s="575"/>
      <c r="D23" s="583"/>
      <c r="E23" s="583"/>
      <c r="F23" s="583"/>
      <c r="G23" s="618"/>
      <c r="H23" s="597"/>
      <c r="I23" s="597"/>
    </row>
    <row r="24" spans="1:23">
      <c r="A24" s="645"/>
      <c r="B24" s="575"/>
      <c r="C24" s="575"/>
      <c r="D24" s="583"/>
      <c r="E24" s="583"/>
      <c r="F24" s="583"/>
      <c r="G24" s="618"/>
      <c r="H24" s="597"/>
      <c r="I24" s="597"/>
    </row>
    <row r="25" spans="1:23">
      <c r="A25" s="63"/>
      <c r="B25" s="575"/>
      <c r="C25" s="575"/>
      <c r="D25" s="583"/>
      <c r="E25" s="583"/>
      <c r="F25" s="583"/>
      <c r="G25" s="618"/>
      <c r="H25" s="597"/>
      <c r="I25" s="597"/>
    </row>
    <row r="26" spans="1:23">
      <c r="A26" s="63"/>
      <c r="B26" s="575"/>
      <c r="C26" s="575"/>
      <c r="D26" s="583"/>
      <c r="E26" s="583"/>
      <c r="F26" s="583"/>
      <c r="G26" s="618"/>
      <c r="H26" s="597"/>
      <c r="I26" s="597"/>
    </row>
    <row r="27" spans="1:23">
      <c r="A27" s="63"/>
      <c r="B27" s="575"/>
      <c r="C27" s="575"/>
      <c r="D27" s="63"/>
      <c r="E27" s="63"/>
      <c r="F27" s="832" t="s">
        <v>32</v>
      </c>
      <c r="G27" s="833"/>
      <c r="H27" s="834">
        <f>SUM(H9:H26)</f>
        <v>3347127.6252038339</v>
      </c>
      <c r="I27" s="834"/>
    </row>
    <row r="28" spans="1:23">
      <c r="A28" s="63"/>
      <c r="B28" s="575"/>
      <c r="C28" s="575"/>
      <c r="D28" s="63"/>
      <c r="E28" s="63"/>
      <c r="F28" s="208"/>
      <c r="G28" s="768"/>
      <c r="H28" s="770" t="s">
        <v>870</v>
      </c>
      <c r="I28" s="769"/>
    </row>
    <row r="29" spans="1:23">
      <c r="F29" s="8"/>
      <c r="G29" s="8"/>
      <c r="H29" s="8"/>
      <c r="I29" s="8"/>
    </row>
    <row r="32" spans="1:23">
      <c r="A32" s="687"/>
    </row>
  </sheetData>
  <sheetProtection password="A4FF" sheet="1" objects="1" scenarios="1"/>
  <mergeCells count="4">
    <mergeCell ref="D6:E6"/>
    <mergeCell ref="L8:W11"/>
    <mergeCell ref="L14:W15"/>
    <mergeCell ref="M16:W1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9" tint="0.59999389629810485"/>
  </sheetPr>
  <dimension ref="A1:Z48"/>
  <sheetViews>
    <sheetView workbookViewId="0">
      <selection activeCell="D32" sqref="D32"/>
    </sheetView>
  </sheetViews>
  <sheetFormatPr baseColWidth="10" defaultColWidth="8.83203125" defaultRowHeight="14" x14ac:dyDescent="0"/>
  <cols>
    <col min="1" max="1" width="39" customWidth="1"/>
    <col min="2" max="2" width="31.6640625" customWidth="1"/>
    <col min="3" max="3" width="28.33203125" customWidth="1"/>
    <col min="4" max="4" width="29.1640625" customWidth="1"/>
    <col min="5" max="5" width="13.1640625" customWidth="1"/>
    <col min="6" max="6" width="21.33203125" customWidth="1"/>
    <col min="7" max="7" width="13.5" customWidth="1"/>
    <col min="10" max="10" width="15.5" customWidth="1"/>
    <col min="15" max="15" width="12.33203125" customWidth="1"/>
  </cols>
  <sheetData>
    <row r="1" spans="1:26" ht="19" thickBot="1">
      <c r="A1" s="748" t="s">
        <v>727</v>
      </c>
      <c r="B1" s="679" t="s">
        <v>1090</v>
      </c>
      <c r="C1" s="679" t="s">
        <v>699</v>
      </c>
      <c r="D1" s="679" t="s">
        <v>1091</v>
      </c>
    </row>
    <row r="2" spans="1:26">
      <c r="A2" s="876" t="s">
        <v>366</v>
      </c>
      <c r="B2" s="1309" t="s">
        <v>812</v>
      </c>
      <c r="C2" s="1310"/>
      <c r="D2" s="1311"/>
      <c r="J2" s="718" t="s">
        <v>650</v>
      </c>
      <c r="K2" s="719"/>
      <c r="L2" s="719"/>
      <c r="M2" s="719"/>
      <c r="N2" s="719"/>
      <c r="O2" s="719"/>
      <c r="P2" s="719"/>
      <c r="Q2" s="719"/>
      <c r="R2" s="719"/>
      <c r="S2" s="719"/>
      <c r="T2" s="719"/>
      <c r="U2" s="719"/>
      <c r="V2" s="719"/>
      <c r="W2" s="719"/>
      <c r="X2" s="719"/>
      <c r="Y2" s="719"/>
      <c r="Z2" s="699"/>
    </row>
    <row r="3" spans="1:26">
      <c r="A3" t="s">
        <v>787</v>
      </c>
      <c r="B3" s="731">
        <f>Egg_Nutrient!K67</f>
        <v>5442954.11229592</v>
      </c>
      <c r="C3" s="731"/>
      <c r="D3" s="731"/>
      <c r="E3" s="5"/>
      <c r="J3" s="721"/>
      <c r="K3" s="698"/>
      <c r="L3" s="698"/>
      <c r="M3" s="698"/>
      <c r="N3" s="698"/>
      <c r="O3" s="698"/>
      <c r="P3" s="698"/>
      <c r="Q3" s="698"/>
      <c r="R3" s="698"/>
      <c r="S3" s="698"/>
      <c r="T3" s="698"/>
      <c r="U3" s="698"/>
      <c r="V3" s="698"/>
      <c r="W3" s="698"/>
      <c r="X3" s="698"/>
      <c r="Y3" s="698"/>
      <c r="Z3" s="700"/>
    </row>
    <row r="4" spans="1:26">
      <c r="A4" t="s">
        <v>788</v>
      </c>
      <c r="B4" s="881">
        <f>Egg_Nutrient!K63+Egg_Nutrient!K64</f>
        <v>842755.38607510715</v>
      </c>
      <c r="C4" s="731"/>
      <c r="D4" s="731"/>
      <c r="E4" s="5"/>
      <c r="J4" s="849" t="s">
        <v>819</v>
      </c>
      <c r="K4" s="856"/>
      <c r="L4" s="857"/>
      <c r="M4" s="857"/>
      <c r="N4" s="857"/>
      <c r="O4" s="857"/>
      <c r="P4" s="857"/>
      <c r="Q4" s="857"/>
      <c r="R4" s="857"/>
      <c r="S4" s="857"/>
      <c r="T4" s="857"/>
      <c r="U4" s="857"/>
      <c r="V4" s="698"/>
      <c r="W4" s="698"/>
      <c r="X4" s="698"/>
      <c r="Y4" s="698"/>
      <c r="Z4" s="700"/>
    </row>
    <row r="5" spans="1:26">
      <c r="A5" t="s">
        <v>360</v>
      </c>
      <c r="B5" s="731"/>
      <c r="C5" s="731">
        <f>Egg_Manure!H27</f>
        <v>3347127.6252038339</v>
      </c>
      <c r="D5" s="735"/>
      <c r="E5" s="5"/>
      <c r="J5" s="849" t="s">
        <v>817</v>
      </c>
      <c r="K5" s="857"/>
      <c r="L5" s="857"/>
      <c r="M5" s="857"/>
      <c r="N5" s="857"/>
      <c r="O5" s="857"/>
      <c r="P5" s="857"/>
      <c r="Q5" s="857"/>
      <c r="R5" s="857"/>
      <c r="S5" s="857"/>
      <c r="T5" s="857"/>
      <c r="U5" s="857"/>
      <c r="V5" s="698"/>
      <c r="W5" s="698"/>
      <c r="X5" s="698"/>
      <c r="Y5" s="698"/>
      <c r="Z5" s="700"/>
    </row>
    <row r="6" spans="1:26">
      <c r="A6" t="s">
        <v>638</v>
      </c>
      <c r="B6" s="731"/>
      <c r="C6" s="731"/>
      <c r="D6" s="731">
        <f>D21*Egg_Flock!B16</f>
        <v>1157951.246322772</v>
      </c>
      <c r="E6" s="5"/>
      <c r="J6" s="858"/>
      <c r="K6" s="856" t="s">
        <v>703</v>
      </c>
      <c r="L6" s="856"/>
      <c r="M6" s="856"/>
      <c r="N6" s="856"/>
      <c r="O6" s="856"/>
      <c r="P6" s="856"/>
      <c r="Q6" s="856"/>
      <c r="R6" s="856"/>
      <c r="S6" s="856"/>
      <c r="T6" s="857"/>
      <c r="U6" s="857"/>
      <c r="V6" s="698"/>
      <c r="W6" s="698"/>
      <c r="X6" s="698"/>
      <c r="Y6" s="698"/>
      <c r="Z6" s="700"/>
    </row>
    <row r="7" spans="1:26">
      <c r="A7" t="s">
        <v>818</v>
      </c>
      <c r="B7" s="731"/>
      <c r="C7" s="731"/>
      <c r="D7" s="731">
        <f>(((D20*(Egg_Flock!B8))+(Egg_P_Balance!C19*Egg_Manure!B19*(Egg_Flock!B18-Egg_Flock!B19))+(Egg_Manure!B10*Egg_P_Balance!C19*(Egg_Flock!B20-Egg_Flock!B21)))*0.47)+(2*Egg_Flock!B12*D22)+(2*Egg_Flock!B12*(D21))</f>
        <v>102268.44007783911</v>
      </c>
      <c r="E7" s="625"/>
      <c r="J7" s="858" t="s">
        <v>825</v>
      </c>
      <c r="K7" s="857"/>
      <c r="L7" s="857"/>
      <c r="M7" s="857"/>
      <c r="N7" s="857"/>
      <c r="O7" s="857"/>
      <c r="P7" s="857"/>
      <c r="Q7" s="857"/>
      <c r="R7" s="857"/>
      <c r="S7" s="857"/>
      <c r="T7" s="857"/>
      <c r="U7" s="857"/>
      <c r="V7" s="698"/>
      <c r="W7" s="698"/>
      <c r="X7" s="698"/>
      <c r="Y7" s="698"/>
      <c r="Z7" s="700"/>
    </row>
    <row r="8" spans="1:26">
      <c r="A8" t="s">
        <v>693</v>
      </c>
      <c r="B8" s="731"/>
      <c r="C8" s="731"/>
      <c r="D8" s="731">
        <f>((D20*(Egg_Flock!B8))+(Egg_P_Balance!C19*Egg_Manure!B19*(Egg_Flock!B18-Egg_Flock!B19))+(Egg_Manure!B10*Egg_P_Balance!C19*(Egg_Flock!B20-Egg_Flock!B21)))*0.475</f>
        <v>99370.599879533809</v>
      </c>
      <c r="E8" s="625"/>
      <c r="J8" s="858"/>
      <c r="K8" s="856" t="s">
        <v>826</v>
      </c>
      <c r="L8" s="856"/>
      <c r="M8" s="856"/>
      <c r="N8" s="856"/>
      <c r="O8" s="856"/>
      <c r="P8" s="856"/>
      <c r="Q8" s="856"/>
      <c r="R8" s="856"/>
      <c r="S8" s="856"/>
      <c r="T8" s="857"/>
      <c r="U8" s="856"/>
      <c r="V8" s="698"/>
      <c r="W8" s="698"/>
      <c r="X8" s="698"/>
      <c r="Y8" s="698"/>
      <c r="Z8" s="700"/>
    </row>
    <row r="9" spans="1:26">
      <c r="A9" t="s">
        <v>830</v>
      </c>
      <c r="B9" s="731"/>
      <c r="C9" s="731"/>
      <c r="D9" s="731">
        <f>((D20*(Egg_Flock!B8))+(Egg_P_Balance!C19*Egg_Manure!B19*(Egg_Flock!B18-Egg_Flock!B19))+(Egg_Manure!B10*Egg_P_Balance!C19*(Egg_Flock!B20-Egg_Flock!B21)))*0.055</f>
        <v>11506.069459735494</v>
      </c>
      <c r="E9" s="625"/>
      <c r="J9" s="858"/>
      <c r="K9" s="856"/>
      <c r="L9" s="856"/>
      <c r="M9" s="856"/>
      <c r="N9" s="856"/>
      <c r="O9" s="856"/>
      <c r="P9" s="856"/>
      <c r="Q9" s="856"/>
      <c r="R9" s="856"/>
      <c r="S9" s="856"/>
      <c r="T9" s="857"/>
      <c r="U9" s="856"/>
      <c r="V9" s="698"/>
      <c r="W9" s="698"/>
      <c r="X9" s="698"/>
      <c r="Y9" s="698"/>
      <c r="Z9" s="700"/>
    </row>
    <row r="10" spans="1:26" ht="15" customHeight="1">
      <c r="A10" t="s">
        <v>697</v>
      </c>
      <c r="B10" s="731">
        <f>(Egg_Flock!B20+Egg_Flock!B18)*Egg_P_Balance!D23</f>
        <v>18.561680569052918</v>
      </c>
      <c r="C10" s="731"/>
      <c r="D10" s="731"/>
      <c r="E10" s="5"/>
      <c r="J10" s="858"/>
      <c r="K10" s="856"/>
      <c r="L10" s="856"/>
      <c r="M10" s="856"/>
      <c r="N10" s="856"/>
      <c r="O10" s="856"/>
      <c r="P10" s="856"/>
      <c r="Q10" s="856"/>
      <c r="R10" s="856"/>
      <c r="S10" s="856"/>
      <c r="T10" s="857"/>
      <c r="U10" s="856"/>
      <c r="V10" s="698"/>
      <c r="W10" s="698"/>
      <c r="X10" s="698"/>
      <c r="Y10" s="698"/>
      <c r="Z10" s="700"/>
    </row>
    <row r="11" spans="1:26">
      <c r="A11" t="s">
        <v>698</v>
      </c>
      <c r="B11" s="730"/>
      <c r="C11" s="731">
        <f>D23*Egg_Flock!B11</f>
        <v>1814.4360282554171</v>
      </c>
      <c r="D11" s="730"/>
      <c r="E11" s="350"/>
      <c r="J11" s="858" t="s">
        <v>820</v>
      </c>
      <c r="K11" s="856"/>
      <c r="L11" s="856"/>
      <c r="M11" s="856"/>
      <c r="N11" s="856"/>
      <c r="O11" s="856"/>
      <c r="P11" s="856"/>
      <c r="Q11" s="856"/>
      <c r="R11" s="856"/>
      <c r="S11" s="856"/>
      <c r="T11" s="857"/>
      <c r="U11" s="856"/>
      <c r="V11" s="698"/>
      <c r="W11" s="698"/>
      <c r="X11" s="698"/>
      <c r="Y11" s="698"/>
      <c r="Z11" s="700"/>
    </row>
    <row r="12" spans="1:26">
      <c r="A12" s="63" t="s">
        <v>612</v>
      </c>
      <c r="B12" s="730"/>
      <c r="C12" s="730"/>
      <c r="D12" s="731">
        <f>((Egg_Flock!B7*Egg_P_Balance!D20)+(Egg_Flock!B19*Egg_Manure!B19*Egg_P_Balance!C19)+(Egg_Flock!B21*Egg_Manure!B18*Egg_P_Balance!C19)+(Egg_P_Balance!D19*Egg_Flock!B13))</f>
        <v>26180.15478188451</v>
      </c>
      <c r="E12" s="350"/>
      <c r="J12" s="858"/>
      <c r="K12" s="880" t="s">
        <v>823</v>
      </c>
      <c r="L12" s="856" t="s">
        <v>688</v>
      </c>
      <c r="M12" s="856"/>
      <c r="N12" s="856"/>
      <c r="O12" s="856"/>
      <c r="P12" s="856"/>
      <c r="Q12" s="856"/>
      <c r="R12" s="856"/>
      <c r="S12" s="856"/>
      <c r="T12" s="856"/>
      <c r="U12" s="856"/>
      <c r="V12" s="698"/>
      <c r="W12" s="698"/>
      <c r="X12" s="698"/>
      <c r="Y12" s="698"/>
      <c r="Z12" s="700"/>
    </row>
    <row r="13" spans="1:26" ht="15" thickBot="1">
      <c r="A13" s="208" t="s">
        <v>831</v>
      </c>
      <c r="B13" s="730"/>
      <c r="C13" s="731">
        <f>(C19*Egg_Flock!B6*(1/3)*Egg_Nutrient!E4)+((Egg_Flock!B6*(2/3))*D20)+(C19*Egg_Flock!B18*Egg_Nutrient!C4*(1/2))+(Egg_Flock!B18*D20*(1/2))+(Egg_P_Balance!C19*Egg_Nutrient!C4*Egg_Flock!B20*(1/2))+(Egg_Nutrient!H4*C19*Egg_Flock!B20*(1/2))+(C19*Egg_Nutrient!B4*Egg_Flock!B12*0.18)+(C19*Egg_Nutrient!C4*Egg_Flock!B12*0.18)+(C19*Egg_Nutrient!D4*Egg_Flock!B12*0.18)+(C19*Egg_Nutrient!E4*Egg_Flock!B12*0.06)</f>
        <v>309214.17395191832</v>
      </c>
      <c r="D13" s="731"/>
      <c r="E13" s="350"/>
      <c r="J13" s="858"/>
      <c r="K13" s="878" t="s">
        <v>824</v>
      </c>
      <c r="L13" s="856" t="s">
        <v>608</v>
      </c>
      <c r="M13" s="856"/>
      <c r="N13" s="856"/>
      <c r="O13" s="856"/>
      <c r="P13" s="856"/>
      <c r="Q13" s="856"/>
      <c r="R13" s="856"/>
      <c r="S13" s="856"/>
      <c r="T13" s="856"/>
      <c r="U13" s="856"/>
      <c r="V13" s="698"/>
      <c r="W13" s="698"/>
      <c r="X13" s="698"/>
      <c r="Y13" s="698"/>
      <c r="Z13" s="700"/>
    </row>
    <row r="14" spans="1:26" ht="15" thickBot="1">
      <c r="A14" s="884" t="s">
        <v>376</v>
      </c>
      <c r="B14" s="875">
        <f>(D6+D7+D8)/(B3+B10)</f>
        <v>0.24978818886607873</v>
      </c>
      <c r="C14" s="882"/>
      <c r="D14" s="735"/>
      <c r="J14" s="854"/>
      <c r="K14" s="879" t="s">
        <v>822</v>
      </c>
      <c r="L14" s="877" t="s">
        <v>832</v>
      </c>
      <c r="M14" s="855"/>
      <c r="N14" s="855"/>
      <c r="O14" s="855"/>
      <c r="P14" s="855"/>
      <c r="Q14" s="855"/>
      <c r="R14" s="855"/>
      <c r="S14" s="855"/>
      <c r="T14" s="855"/>
      <c r="U14" s="855"/>
      <c r="V14" s="698"/>
      <c r="W14" s="698"/>
      <c r="X14" s="698"/>
      <c r="Y14" s="698"/>
      <c r="Z14" s="700"/>
    </row>
    <row r="15" spans="1:26">
      <c r="B15" s="735"/>
      <c r="C15" s="735"/>
      <c r="D15" s="734">
        <f>(B3+B10)-(C5+D6+D7+D8+D9+D12+C11+C13)</f>
        <v>387539.92827071622</v>
      </c>
      <c r="E15" s="164" t="s">
        <v>931</v>
      </c>
      <c r="J15" s="854"/>
      <c r="K15" s="879" t="s">
        <v>821</v>
      </c>
      <c r="L15" s="877" t="s">
        <v>686</v>
      </c>
      <c r="M15" s="855"/>
      <c r="N15" s="855"/>
      <c r="O15" s="855"/>
      <c r="P15" s="855"/>
      <c r="Q15" s="855"/>
      <c r="R15" s="855"/>
      <c r="S15" s="855"/>
      <c r="T15" s="855"/>
      <c r="U15" s="855"/>
      <c r="V15" s="698"/>
      <c r="W15" s="698"/>
      <c r="X15" s="698"/>
      <c r="Y15" s="698"/>
      <c r="Z15" s="700"/>
    </row>
    <row r="16" spans="1:26">
      <c r="B16" s="735"/>
      <c r="C16" s="735"/>
      <c r="D16" s="883">
        <f>(D15)/B3</f>
        <v>7.1200293126712777E-2</v>
      </c>
      <c r="E16" s="164" t="s">
        <v>379</v>
      </c>
      <c r="J16" s="721"/>
      <c r="K16" s="885" t="s">
        <v>828</v>
      </c>
      <c r="L16" s="698" t="s">
        <v>829</v>
      </c>
      <c r="M16" s="698"/>
      <c r="N16" s="698"/>
      <c r="O16" s="698"/>
      <c r="P16" s="698"/>
      <c r="Q16" s="698"/>
      <c r="R16" s="698"/>
      <c r="S16" s="698"/>
      <c r="T16" s="698"/>
      <c r="U16" s="698"/>
      <c r="V16" s="698"/>
      <c r="W16" s="698"/>
      <c r="X16" s="698"/>
      <c r="Y16" s="698"/>
      <c r="Z16" s="700"/>
    </row>
    <row r="17" spans="1:26">
      <c r="C17" s="8"/>
      <c r="D17" s="8"/>
      <c r="E17" s="8"/>
      <c r="F17" s="8"/>
      <c r="J17" s="721"/>
      <c r="K17" s="885"/>
      <c r="L17" s="698"/>
      <c r="M17" s="698"/>
      <c r="N17" s="698"/>
      <c r="O17" s="698"/>
      <c r="P17" s="698"/>
      <c r="Q17" s="698"/>
      <c r="R17" s="698"/>
      <c r="S17" s="698"/>
      <c r="T17" s="698"/>
      <c r="U17" s="698"/>
      <c r="V17" s="698"/>
      <c r="W17" s="698"/>
      <c r="X17" s="698"/>
      <c r="Y17" s="698"/>
      <c r="Z17" s="700"/>
    </row>
    <row r="18" spans="1:26" ht="15" thickBot="1">
      <c r="A18" s="8"/>
      <c r="B18" s="8"/>
      <c r="C18" s="886" t="s">
        <v>687</v>
      </c>
      <c r="D18" s="887" t="s">
        <v>689</v>
      </c>
      <c r="E18" s="888"/>
      <c r="F18" s="889"/>
      <c r="J18" s="702" t="s">
        <v>827</v>
      </c>
      <c r="K18" s="703"/>
      <c r="L18" s="703"/>
      <c r="M18" s="703"/>
      <c r="N18" s="703"/>
      <c r="O18" s="703"/>
      <c r="P18" s="703"/>
      <c r="Q18" s="703"/>
      <c r="R18" s="703"/>
      <c r="S18" s="703"/>
      <c r="T18" s="703"/>
      <c r="U18" s="703"/>
      <c r="V18" s="703"/>
      <c r="W18" s="703"/>
      <c r="X18" s="703"/>
      <c r="Y18" s="703"/>
      <c r="Z18" s="704"/>
    </row>
    <row r="19" spans="1:26">
      <c r="A19" s="8"/>
      <c r="B19" s="620"/>
      <c r="C19" s="890">
        <v>6.4999999999999997E-3</v>
      </c>
      <c r="D19" s="891">
        <f>C19*Egg_Manure!B14</f>
        <v>5.0049999999999999E-3</v>
      </c>
      <c r="E19" s="697" t="s">
        <v>691</v>
      </c>
      <c r="F19" s="892"/>
    </row>
    <row r="20" spans="1:26">
      <c r="A20" s="8"/>
      <c r="B20" s="681"/>
      <c r="C20" s="893"/>
      <c r="D20" s="894">
        <f>C19*Egg_Manure!B9</f>
        <v>2.9921138223731585E-2</v>
      </c>
      <c r="E20" s="697" t="s">
        <v>690</v>
      </c>
      <c r="F20" s="892"/>
      <c r="M20" s="603"/>
    </row>
    <row r="21" spans="1:26">
      <c r="A21" s="8"/>
      <c r="B21" s="681"/>
      <c r="C21" s="893"/>
      <c r="D21" s="895">
        <v>4.0352751083533436E-4</v>
      </c>
      <c r="E21" s="697" t="s">
        <v>694</v>
      </c>
      <c r="F21" s="892"/>
    </row>
    <row r="22" spans="1:26">
      <c r="A22" s="8"/>
      <c r="B22" s="681"/>
      <c r="C22" s="893"/>
      <c r="D22" s="895">
        <f>0.000136768173591632+0.0000249</f>
        <v>1.6166817359163202E-4</v>
      </c>
      <c r="E22" s="697" t="s">
        <v>833</v>
      </c>
      <c r="F22" s="892"/>
    </row>
    <row r="23" spans="1:26">
      <c r="C23" s="896"/>
      <c r="D23" s="899">
        <v>2.4182625029605328E-4</v>
      </c>
      <c r="E23" s="897" t="s">
        <v>609</v>
      </c>
      <c r="F23" s="898"/>
      <c r="J23" s="603"/>
      <c r="M23" s="603"/>
    </row>
    <row r="24" spans="1:26">
      <c r="D24" s="907"/>
      <c r="J24" s="603"/>
      <c r="K24" s="603"/>
      <c r="L24" s="603"/>
      <c r="M24" s="603"/>
    </row>
    <row r="25" spans="1:26">
      <c r="D25" s="908"/>
      <c r="J25" s="603"/>
      <c r="K25" s="603"/>
      <c r="L25" s="603"/>
      <c r="M25" s="603"/>
    </row>
    <row r="26" spans="1:26">
      <c r="B26" s="693"/>
      <c r="C26" s="693"/>
      <c r="D26" s="693"/>
      <c r="J26" s="603"/>
      <c r="K26" s="603"/>
      <c r="L26" s="603"/>
      <c r="M26" s="603"/>
    </row>
    <row r="27" spans="1:26">
      <c r="B27" s="693"/>
      <c r="C27" s="693"/>
      <c r="D27" s="693"/>
    </row>
    <row r="28" spans="1:26">
      <c r="B28" s="5"/>
      <c r="C28" s="5"/>
      <c r="D28" s="569"/>
      <c r="E28" s="569"/>
    </row>
    <row r="29" spans="1:26">
      <c r="B29" s="5"/>
      <c r="C29" s="5"/>
      <c r="D29" s="569"/>
      <c r="E29" s="569"/>
      <c r="L29" s="691"/>
    </row>
    <row r="30" spans="1:26">
      <c r="B30" s="5"/>
      <c r="C30" s="5"/>
      <c r="D30" s="569"/>
      <c r="E30" s="569"/>
      <c r="L30" s="691"/>
    </row>
    <row r="31" spans="1:26">
      <c r="B31" s="5"/>
      <c r="C31" s="5"/>
      <c r="D31" s="569"/>
      <c r="E31" s="569"/>
      <c r="L31" s="691"/>
    </row>
    <row r="32" spans="1:26">
      <c r="B32" s="5"/>
      <c r="C32" s="5"/>
      <c r="D32" s="569"/>
      <c r="E32" s="569"/>
      <c r="L32" s="691"/>
    </row>
    <row r="33" spans="1:12">
      <c r="B33" s="5"/>
      <c r="C33" s="5"/>
      <c r="D33" s="569"/>
      <c r="E33" s="569"/>
      <c r="L33" s="691"/>
    </row>
    <row r="34" spans="1:12">
      <c r="A34" s="63"/>
      <c r="B34" s="5"/>
      <c r="C34" s="5"/>
      <c r="D34" s="569"/>
      <c r="E34" s="569"/>
    </row>
    <row r="35" spans="1:12">
      <c r="B35" s="561"/>
      <c r="C35" s="561"/>
      <c r="D35" s="569"/>
      <c r="E35" s="569"/>
    </row>
    <row r="36" spans="1:12">
      <c r="D36" s="678"/>
      <c r="E36" s="678"/>
    </row>
    <row r="37" spans="1:12">
      <c r="D37" s="679"/>
      <c r="E37" s="679"/>
    </row>
    <row r="39" spans="1:12">
      <c r="C39" s="680"/>
    </row>
    <row r="43" spans="1:12">
      <c r="A43" s="164"/>
    </row>
    <row r="48" spans="1:12" ht="15">
      <c r="B48" s="685"/>
    </row>
  </sheetData>
  <sheetProtection password="A4FF" sheet="1" objects="1" scenarios="1"/>
  <mergeCells count="1">
    <mergeCell ref="B2:D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37</vt:i4>
      </vt:variant>
    </vt:vector>
  </HeadingPairs>
  <TitlesOfParts>
    <vt:vector size="37" baseType="lpstr">
      <vt:lpstr>Instructions</vt:lpstr>
      <vt:lpstr>Atmospheric_P_Deposition</vt:lpstr>
      <vt:lpstr>Whole_Ag_P_Balance</vt:lpstr>
      <vt:lpstr>Crop_P_Balance</vt:lpstr>
      <vt:lpstr>Feed_Summary</vt:lpstr>
      <vt:lpstr>Egg_Flock</vt:lpstr>
      <vt:lpstr>Egg_Nutrient</vt:lpstr>
      <vt:lpstr>Egg_Manure</vt:lpstr>
      <vt:lpstr>Egg_P_Balance</vt:lpstr>
      <vt:lpstr>BroilerFlock</vt:lpstr>
      <vt:lpstr>Broiler_Nutrient</vt:lpstr>
      <vt:lpstr>Broiler_Manure</vt:lpstr>
      <vt:lpstr>BroilerPBalance</vt:lpstr>
      <vt:lpstr>TurkeyFlock</vt:lpstr>
      <vt:lpstr>Turkey_Nutrient</vt:lpstr>
      <vt:lpstr>Turkey_Manure</vt:lpstr>
      <vt:lpstr>TurkeyPBalance</vt:lpstr>
      <vt:lpstr>BeefHerd</vt:lpstr>
      <vt:lpstr>Conv Weight Gained</vt:lpstr>
      <vt:lpstr>Conv Calendar</vt:lpstr>
      <vt:lpstr>Conv Energy</vt:lpstr>
      <vt:lpstr>GrassFedOnly</vt:lpstr>
      <vt:lpstr>Conv Forage</vt:lpstr>
      <vt:lpstr>Beef_Nutrient</vt:lpstr>
      <vt:lpstr>BeefManure</vt:lpstr>
      <vt:lpstr>BeefPBalance </vt:lpstr>
      <vt:lpstr>DairyHerd</vt:lpstr>
      <vt:lpstr>Dairy_Nutrient</vt:lpstr>
      <vt:lpstr>DairyManure</vt:lpstr>
      <vt:lpstr>DairyPBalance</vt:lpstr>
      <vt:lpstr>HogHerd</vt:lpstr>
      <vt:lpstr>Swine_Nutrient</vt:lpstr>
      <vt:lpstr>Feed_CompositionSwine</vt:lpstr>
      <vt:lpstr>SwineFeedCalculator</vt:lpstr>
      <vt:lpstr>SwineManure</vt:lpstr>
      <vt:lpstr>SwinePBalance</vt:lpstr>
      <vt:lpstr>Feed_Composition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dc:creator>
  <cp:lastModifiedBy>Lawrence Baker</cp:lastModifiedBy>
  <cp:lastPrinted>2013-10-03T18:54:03Z</cp:lastPrinted>
  <dcterms:created xsi:type="dcterms:W3CDTF">2011-02-14T16:57:24Z</dcterms:created>
  <dcterms:modified xsi:type="dcterms:W3CDTF">2014-09-19T17:28:34Z</dcterms:modified>
</cp:coreProperties>
</file>